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флешка синхрон\флешка\работа\ОБЪЕКТЫ\15\Озерная\Фасад\РС\"/>
    </mc:Choice>
  </mc:AlternateContent>
  <bookViews>
    <workbookView xWindow="0" yWindow="60" windowWidth="10230" windowHeight="8130" tabRatio="225"/>
  </bookViews>
  <sheets>
    <sheet name="РС" sheetId="2" r:id="rId1"/>
    <sheet name="Вход" sheetId="3" r:id="rId2"/>
    <sheet name="Лист2" sheetId="4" r:id="rId3"/>
  </sheets>
  <definedNames>
    <definedName name="_xlnm._FilterDatabase" localSheetId="1" hidden="1">Вход!$G$1:$G$103</definedName>
    <definedName name="_xlnm._FilterDatabase" localSheetId="0" hidden="1">РС!$C$1:$C$62</definedName>
    <definedName name="_xlnm.Print_Area" localSheetId="1">Вход!$F$1:$Q$101</definedName>
    <definedName name="_xlnm.Print_Area" localSheetId="0">РС!$B$1:$K$62</definedName>
  </definedNames>
  <calcPr calcId="162913"/>
</workbook>
</file>

<file path=xl/calcChain.xml><?xml version="1.0" encoding="utf-8"?>
<calcChain xmlns="http://schemas.openxmlformats.org/spreadsheetml/2006/main">
  <c r="I14" i="2" l="1"/>
  <c r="I15" i="2"/>
  <c r="I16" i="2"/>
  <c r="I18" i="2"/>
  <c r="I19" i="2"/>
  <c r="I21" i="2"/>
  <c r="I24" i="2"/>
  <c r="I25" i="2"/>
  <c r="I27" i="2"/>
  <c r="I28" i="2"/>
  <c r="I30" i="2"/>
  <c r="I31" i="2"/>
  <c r="I32" i="2"/>
  <c r="I33" i="2"/>
  <c r="I35" i="2"/>
  <c r="I36" i="2"/>
  <c r="I37" i="2"/>
  <c r="I38" i="2"/>
  <c r="I40" i="2"/>
  <c r="I43" i="2"/>
  <c r="I44" i="2"/>
  <c r="I45" i="2"/>
  <c r="I46" i="2"/>
  <c r="G52" i="2"/>
  <c r="G54" i="2"/>
  <c r="M20" i="3"/>
  <c r="L7" i="4"/>
  <c r="L6" i="4"/>
  <c r="L5" i="4"/>
  <c r="L4" i="4"/>
  <c r="C16" i="2"/>
  <c r="C15" i="2"/>
  <c r="C14" i="2"/>
  <c r="C13" i="2"/>
  <c r="M26" i="3" l="1"/>
  <c r="M23" i="3"/>
  <c r="Q23" i="3" s="1"/>
  <c r="M24" i="3"/>
  <c r="Q24" i="3" s="1"/>
  <c r="M21" i="3"/>
  <c r="Q21" i="3" s="1"/>
  <c r="Q20" i="3"/>
  <c r="K18" i="3"/>
  <c r="Q46" i="3"/>
  <c r="M19" i="3"/>
  <c r="Q19" i="3" s="1"/>
  <c r="Q86" i="3"/>
  <c r="K82" i="3"/>
  <c r="K81" i="3"/>
  <c r="K80" i="3"/>
  <c r="K86" i="3" s="1"/>
  <c r="M75" i="3"/>
  <c r="Q75" i="3" s="1"/>
  <c r="M74" i="3"/>
  <c r="Q74" i="3" s="1"/>
  <c r="M73" i="3"/>
  <c r="Q73" i="3" s="1"/>
  <c r="K72" i="3"/>
  <c r="M71" i="3"/>
  <c r="Q71" i="3" s="1"/>
  <c r="Q70" i="3"/>
  <c r="M70" i="3"/>
  <c r="K69" i="3"/>
  <c r="M68" i="3"/>
  <c r="Q68" i="3" s="1"/>
  <c r="Q67" i="3"/>
  <c r="M67" i="3"/>
  <c r="K66" i="3"/>
  <c r="M65" i="3"/>
  <c r="Q65" i="3" s="1"/>
  <c r="M64" i="3"/>
  <c r="Q64" i="3" s="1"/>
  <c r="K63" i="3"/>
  <c r="M62" i="3"/>
  <c r="Q62" i="3" s="1"/>
  <c r="M61" i="3"/>
  <c r="Q61" i="3" s="1"/>
  <c r="K60" i="3"/>
  <c r="M59" i="3"/>
  <c r="Q59" i="3" s="1"/>
  <c r="K58" i="3"/>
  <c r="M57" i="3"/>
  <c r="Q57" i="3" s="1"/>
  <c r="M56" i="3"/>
  <c r="Q56" i="3" s="1"/>
  <c r="K55" i="3"/>
  <c r="M51" i="3"/>
  <c r="Q51" i="3" s="1"/>
  <c r="Q50" i="3"/>
  <c r="M50" i="3"/>
  <c r="M49" i="3"/>
  <c r="Q49" i="3" s="1"/>
  <c r="M48" i="3"/>
  <c r="Q48" i="3" s="1"/>
  <c r="K47" i="3"/>
  <c r="M45" i="3"/>
  <c r="Q45" i="3" s="1"/>
  <c r="K44" i="3"/>
  <c r="M43" i="3"/>
  <c r="Q43" i="3" s="1"/>
  <c r="M42" i="3"/>
  <c r="Q42" i="3" s="1"/>
  <c r="M41" i="3"/>
  <c r="Q41" i="3" s="1"/>
  <c r="M40" i="3"/>
  <c r="Q40" i="3" s="1"/>
  <c r="K39" i="3"/>
  <c r="M38" i="3"/>
  <c r="Q38" i="3" s="1"/>
  <c r="M37" i="3"/>
  <c r="Q37" i="3" s="1"/>
  <c r="M36" i="3"/>
  <c r="Q36" i="3" s="1"/>
  <c r="M35" i="3"/>
  <c r="Q35" i="3" s="1"/>
  <c r="K34" i="3"/>
  <c r="M33" i="3"/>
  <c r="Q33" i="3" s="1"/>
  <c r="Q32" i="3"/>
  <c r="K31" i="3"/>
  <c r="Q30" i="3"/>
  <c r="Q29" i="3"/>
  <c r="Q28" i="3"/>
  <c r="Q27" i="3"/>
  <c r="Q26" i="3"/>
  <c r="K25" i="3"/>
  <c r="K22" i="3"/>
  <c r="G42" i="2"/>
  <c r="G39" i="2"/>
  <c r="G34" i="2"/>
  <c r="G29" i="2"/>
  <c r="G17" i="2"/>
  <c r="K76" i="3" l="1"/>
  <c r="G58" i="2"/>
  <c r="K88" i="3"/>
  <c r="Q10" i="3" s="1"/>
  <c r="K52" i="3"/>
  <c r="Q52" i="3"/>
  <c r="Q76" i="3"/>
  <c r="Q88" i="3" s="1"/>
  <c r="K89" i="3"/>
  <c r="Q11" i="3" l="1"/>
  <c r="Q89" i="3"/>
  <c r="H90" i="3" s="1"/>
  <c r="Q9" i="3" s="1"/>
  <c r="G26" i="2" l="1"/>
  <c r="G20" i="2"/>
  <c r="G13" i="2" l="1"/>
  <c r="G47" i="2" l="1"/>
  <c r="G60" i="2" s="1"/>
</calcChain>
</file>

<file path=xl/sharedStrings.xml><?xml version="1.0" encoding="utf-8"?>
<sst xmlns="http://schemas.openxmlformats.org/spreadsheetml/2006/main" count="299" uniqueCount="117">
  <si>
    <t>название объекта</t>
  </si>
  <si>
    <t>адрес объекта</t>
  </si>
  <si>
    <t>Прямые затраты</t>
  </si>
  <si>
    <t>т. руб</t>
  </si>
  <si>
    <t>Заработная плата</t>
  </si>
  <si>
    <t>Стоимость материалов</t>
  </si>
  <si>
    <t>Трудозатраты</t>
  </si>
  <si>
    <t>чел/дни</t>
  </si>
  <si>
    <t>№</t>
  </si>
  <si>
    <t>Наименование  работ и изделий</t>
  </si>
  <si>
    <t>работы</t>
  </si>
  <si>
    <t>материалы</t>
  </si>
  <si>
    <t>ед.изм.</t>
  </si>
  <si>
    <t>кол-во</t>
  </si>
  <si>
    <t>цена</t>
  </si>
  <si>
    <t>cтоимость</t>
  </si>
  <si>
    <t>упаковка</t>
  </si>
  <si>
    <t>расход</t>
  </si>
  <si>
    <t>1</t>
  </si>
  <si>
    <t>итого по работам</t>
  </si>
  <si>
    <t>итого по материалам</t>
  </si>
  <si>
    <t>Всего по смете</t>
  </si>
  <si>
    <t>Руководитель проекта</t>
  </si>
  <si>
    <t>Грамотнева В.И.</t>
  </si>
  <si>
    <t>Итого по разделу:</t>
  </si>
  <si>
    <t>Выполнил</t>
  </si>
  <si>
    <t>стоимость</t>
  </si>
  <si>
    <t xml:space="preserve">Подраздел </t>
  </si>
  <si>
    <t>Срок производства работ</t>
  </si>
  <si>
    <t>Кульпин А.О.</t>
  </si>
  <si>
    <t xml:space="preserve">Транспортные  расходы </t>
  </si>
  <si>
    <t>Печкуров Р.А.</t>
  </si>
  <si>
    <t xml:space="preserve">Рабочая Смета </t>
  </si>
  <si>
    <t>2</t>
  </si>
  <si>
    <t>3</t>
  </si>
  <si>
    <t>4</t>
  </si>
  <si>
    <t>5</t>
  </si>
  <si>
    <t>м2</t>
  </si>
  <si>
    <t>ведро</t>
  </si>
  <si>
    <t>6</t>
  </si>
  <si>
    <t>м3</t>
  </si>
  <si>
    <t xml:space="preserve">Менеджер проекта </t>
  </si>
  <si>
    <t>Инженер ПТО</t>
  </si>
  <si>
    <t>Погорелов В.В.</t>
  </si>
  <si>
    <t>Руководитель отдела ПТО</t>
  </si>
  <si>
    <t>Обращаем Ваше внимание, что данное предложение носит предварительный характер и может быть скорректировано после уточнения и окончательного согласования требуемых материалов и работ.</t>
  </si>
  <si>
    <t>масса</t>
  </si>
  <si>
    <t>Дата 09.11.2015</t>
  </si>
  <si>
    <t>г.Москва, Озерная улица, д2а</t>
  </si>
  <si>
    <t>Фасадная армирующая стеклосетка</t>
  </si>
  <si>
    <t>Штукатурка фасада по системе "Мокрый фасад" типа "Sto Therm"</t>
  </si>
  <si>
    <t>Окраска фасада по штукатурке улучшенная</t>
  </si>
  <si>
    <t>Утепление потолков проездов минплитой Венти Баттс (Rockwool) толщ. 150мм</t>
  </si>
  <si>
    <t xml:space="preserve">Устройство реечных потолков над проездами </t>
  </si>
  <si>
    <t>Реечный потолок Албес</t>
  </si>
  <si>
    <t>Устройство пароизоляции фасада из Изоспан Tyvek</t>
  </si>
  <si>
    <t>Утепление фасадов минплитой Венти Баттс (Rockwool) толщ. 150мм</t>
  </si>
  <si>
    <t>Крепление гидроветрозащитной мембраны "Tyvek Soft" (DuPont)</t>
  </si>
  <si>
    <t>Монтаж керамогранитных плит отделки фасада по направляющим</t>
  </si>
  <si>
    <t>Облицовка керамогранитом на клею приямков эвакуационных выходов</t>
  </si>
  <si>
    <t>Улучшенная окраска карнизов по бетону фасадными красками</t>
  </si>
  <si>
    <t>Улучшенная окраска пилястр и полок на фасаде из ПСБ-С</t>
  </si>
  <si>
    <t>Монтаж/демонтаж стр.лесов</t>
  </si>
  <si>
    <t>Проектные работы(+согласование) НВФ</t>
  </si>
  <si>
    <t>Геодезические работы НВФ</t>
  </si>
  <si>
    <t>Колористический паспорт НВФ</t>
  </si>
  <si>
    <t xml:space="preserve">Ордер ОАТИ </t>
  </si>
  <si>
    <t>Грунтовка ВГТ Вд Ак 0301  глубокого проникновения для наружно-внутренних работ (0,1кг/м2), 30кг</t>
  </si>
  <si>
    <t>меш.</t>
  </si>
  <si>
    <t>Мин.плита Венти Баттс (Rockwool) толщ. 150мм</t>
  </si>
  <si>
    <t>Подсистема НВФ</t>
  </si>
  <si>
    <t>упак.</t>
  </si>
  <si>
    <t xml:space="preserve">Клей Ceresit СM 14 (25кг) </t>
  </si>
  <si>
    <t>Затирка Ceresit  CE 40  (2кг)</t>
  </si>
  <si>
    <t>Фасадная трещиностойкая краска ВГТ (колерованная), (0,4кг/м2), 45кг</t>
  </si>
  <si>
    <t>мешок</t>
  </si>
  <si>
    <t>Погрузка, выгрузка, подъем стр.материала 1%</t>
  </si>
  <si>
    <t>7</t>
  </si>
  <si>
    <t>8</t>
  </si>
  <si>
    <t>9</t>
  </si>
  <si>
    <t>10</t>
  </si>
  <si>
    <t>11</t>
  </si>
  <si>
    <t>Штукатурка Weber.min 1,5 (4,2кг/м2), 25кг</t>
  </si>
  <si>
    <t xml:space="preserve">Изоспан Tyvek, 50х1,5 м </t>
  </si>
  <si>
    <t>рулон</t>
  </si>
  <si>
    <t>Мембрана "Tyvek Soft" (DuPont), 50х1,5м</t>
  </si>
  <si>
    <t>Керамогранит 600х600 пр-во Россия</t>
  </si>
  <si>
    <t>Керамогранит пр-во Россия</t>
  </si>
  <si>
    <t>Цеметная фасадная шпаклевка Weber Vetonit weber.rend facade grey (2,8кг/м2), 20кг</t>
  </si>
  <si>
    <t>Накладные расходы 3%</t>
  </si>
  <si>
    <t>шт</t>
  </si>
  <si>
    <t>Грибки 220 с термоголовкой</t>
  </si>
  <si>
    <t>м</t>
  </si>
  <si>
    <t>ПЕНОПЛАСТ ПСБ-С 25Ф ФАСАДНЫЙ</t>
  </si>
  <si>
    <t>Монтаж пилястр и полок на фасаде из ПСБ-С</t>
  </si>
  <si>
    <t>Изготовление пилястр и полок</t>
  </si>
  <si>
    <t>Устройство армировочно-клеевого слоя</t>
  </si>
  <si>
    <t>МВП Технониколь Технофас 150 мм</t>
  </si>
  <si>
    <t>Клеевая смесь Weber.therm MV (6кг/м2), 25кг</t>
  </si>
  <si>
    <t>Клеевая смесь Weber.therm S100 (6кг/м2), 25кг</t>
  </si>
  <si>
    <t>Профиль цокольный АЛ 150</t>
  </si>
  <si>
    <t>Профиль капельник с армирующей сеткой</t>
  </si>
  <si>
    <t>Профиль угловой</t>
  </si>
  <si>
    <t>Профиль деформационный</t>
  </si>
  <si>
    <t xml:space="preserve">Улучшенная окраска колонн, балконных плит, стен приямков по бетону фасадными красками </t>
  </si>
  <si>
    <t>Мин.плита Технолайт Экстра (Технониколь) толщ. 110мм</t>
  </si>
  <si>
    <t>Мин.плита Техновент Сандарт (Технониколь) толщ. 40 мм</t>
  </si>
  <si>
    <t>Грибки 90 с термоголовкой</t>
  </si>
  <si>
    <t>Утепление фасадов минплитой МВП</t>
  </si>
  <si>
    <t>месяц</t>
  </si>
  <si>
    <t xml:space="preserve">Аренда люлек </t>
  </si>
  <si>
    <t>Монтаж люлек</t>
  </si>
  <si>
    <t>Перенавеска люлек</t>
  </si>
  <si>
    <t>Демонтаж люлек</t>
  </si>
  <si>
    <t>Кабель КГ 4х10</t>
  </si>
  <si>
    <t>Кабель КГ 4х2,5</t>
  </si>
  <si>
    <t>Узел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</si>
</sst>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#,##0.00&quot;    &quot;;\-#,##0.00&quot;    &quot;;&quot; -&quot;#&quot;    &quot;;@\ "/>
    <numFmt numFmtId="167" formatCode="#,##0.00;\-#,##0.00"/>
    <numFmt numFmtId="168" formatCode="#,##0.0"/>
    <numFmt numFmtId="169" formatCode="#,##0.00;[Red]#,##0.00"/>
    <numFmt numFmtId="170" formatCode="#,##0.00_ ;\-#,##0.00\ "/>
  </numFmts>
  <fonts count="38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B80047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sz val="13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sz val="14"/>
      <color rgb="FFB80047"/>
      <name val="Arial"/>
      <family val="2"/>
      <charset val="204"/>
    </font>
    <font>
      <sz val="14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  <font>
      <sz val="16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3333FF"/>
      <name val="Arial"/>
      <family val="2"/>
      <charset val="204"/>
    </font>
    <font>
      <b/>
      <sz val="12"/>
      <color rgb="FFFF33CC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name val="Arial Cyr"/>
      <charset val="204"/>
    </font>
    <font>
      <u/>
      <sz val="9.9"/>
      <color theme="10"/>
      <name val="Calibri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FF00CC"/>
      <name val="Arial"/>
      <family val="2"/>
      <charset val="204"/>
    </font>
    <font>
      <sz val="12"/>
      <color rgb="FFFF0066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rgb="FF000000"/>
      <name val="Calibri"/>
      <family val="2"/>
      <charset val="204"/>
    </font>
    <font>
      <sz val="16"/>
      <color rgb="FFB80047"/>
      <name val="Arial"/>
      <family val="2"/>
      <charset val="204"/>
    </font>
    <font>
      <sz val="16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E6E6FF"/>
        <bgColor rgb="FFFFFFFF"/>
      </patternFill>
    </fill>
    <fill>
      <patternFill patternType="solid">
        <fgColor rgb="FFCCCCCC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6E6FF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2" fillId="0" borderId="0">
      <alignment vertical="top"/>
    </xf>
    <xf numFmtId="0" fontId="23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</cellStyleXfs>
  <cellXfs count="158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0" xfId="0" applyFont="1" applyBorder="1"/>
    <xf numFmtId="0" fontId="9" fillId="0" borderId="0" xfId="0" applyFont="1" applyAlignment="1">
      <alignment horizontal="center" vertical="center"/>
    </xf>
    <xf numFmtId="0" fontId="14" fillId="0" borderId="0" xfId="0" applyFont="1"/>
    <xf numFmtId="4" fontId="9" fillId="0" borderId="0" xfId="0" applyNumberFormat="1" applyFont="1" applyBorder="1" applyAlignment="1">
      <alignment horizontal="right" vertical="center"/>
    </xf>
    <xf numFmtId="49" fontId="2" fillId="6" borderId="4" xfId="0" applyNumberFormat="1" applyFont="1" applyFill="1" applyBorder="1" applyAlignment="1">
      <alignment vertical="center" wrapText="1"/>
    </xf>
    <xf numFmtId="166" fontId="5" fillId="7" borderId="2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9" fontId="15" fillId="5" borderId="2" xfId="0" applyNumberFormat="1" applyFont="1" applyFill="1" applyBorder="1" applyAlignment="1">
      <alignment horizontal="center" vertical="center" wrapText="1"/>
    </xf>
    <xf numFmtId="49" fontId="16" fillId="6" borderId="2" xfId="0" applyNumberFormat="1" applyFont="1" applyFill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 wrapText="1"/>
    </xf>
    <xf numFmtId="1" fontId="15" fillId="5" borderId="2" xfId="0" applyNumberFormat="1" applyFont="1" applyFill="1" applyBorder="1" applyAlignment="1">
      <alignment horizontal="left" vertical="center" wrapText="1"/>
    </xf>
    <xf numFmtId="165" fontId="15" fillId="5" borderId="2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left" vertical="center"/>
    </xf>
    <xf numFmtId="2" fontId="20" fillId="0" borderId="2" xfId="0" applyNumberFormat="1" applyFont="1" applyBorder="1" applyAlignment="1">
      <alignment horizontal="center" vertical="center"/>
    </xf>
    <xf numFmtId="0" fontId="23" fillId="0" borderId="0" xfId="2" applyAlignment="1" applyProtection="1"/>
    <xf numFmtId="4" fontId="20" fillId="5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4" fontId="24" fillId="0" borderId="2" xfId="0" applyNumberFormat="1" applyFont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center" wrapText="1"/>
    </xf>
    <xf numFmtId="2" fontId="20" fillId="5" borderId="2" xfId="0" applyNumberFormat="1" applyFont="1" applyFill="1" applyBorder="1" applyAlignment="1">
      <alignment horizontal="center" vertical="center"/>
    </xf>
    <xf numFmtId="4" fontId="20" fillId="5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168" fontId="26" fillId="5" borderId="2" xfId="0" applyNumberFormat="1" applyFont="1" applyFill="1" applyBorder="1" applyAlignment="1">
      <alignment horizontal="center" vertical="center"/>
    </xf>
    <xf numFmtId="165" fontId="26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30" fillId="5" borderId="0" xfId="0" applyFont="1" applyFill="1"/>
    <xf numFmtId="0" fontId="28" fillId="5" borderId="0" xfId="0" applyFont="1" applyFill="1"/>
    <xf numFmtId="0" fontId="30" fillId="0" borderId="0" xfId="0" applyFont="1" applyBorder="1"/>
    <xf numFmtId="49" fontId="2" fillId="6" borderId="2" xfId="0" applyNumberFormat="1" applyFont="1" applyFill="1" applyBorder="1" applyAlignment="1">
      <alignment vertical="center" wrapText="1"/>
    </xf>
    <xf numFmtId="4" fontId="2" fillId="6" borderId="2" xfId="0" applyNumberFormat="1" applyFont="1" applyFill="1" applyBorder="1" applyAlignment="1">
      <alignment vertical="center"/>
    </xf>
    <xf numFmtId="0" fontId="32" fillId="9" borderId="2" xfId="0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3" fontId="35" fillId="0" borderId="2" xfId="0" applyNumberFormat="1" applyFont="1" applyBorder="1" applyAlignment="1">
      <alignment horizontal="center" vertical="center" wrapText="1"/>
    </xf>
    <xf numFmtId="164" fontId="15" fillId="0" borderId="2" xfId="3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164" fontId="32" fillId="0" borderId="2" xfId="3" applyFont="1" applyFill="1" applyBorder="1" applyAlignment="1">
      <alignment horizontal="right" vertical="center" indent="1"/>
    </xf>
    <xf numFmtId="168" fontId="34" fillId="5" borderId="2" xfId="3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168" fontId="15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168" fontId="25" fillId="5" borderId="2" xfId="0" applyNumberFormat="1" applyFont="1" applyFill="1" applyBorder="1" applyAlignment="1">
      <alignment horizontal="center"/>
    </xf>
    <xf numFmtId="169" fontId="18" fillId="10" borderId="2" xfId="0" applyNumberFormat="1" applyFont="1" applyFill="1" applyBorder="1" applyAlignment="1">
      <alignment horizontal="center" vertical="center" wrapText="1"/>
    </xf>
    <xf numFmtId="169" fontId="18" fillId="10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/>
    </xf>
    <xf numFmtId="165" fontId="15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left" vertical="top" wrapText="1"/>
    </xf>
    <xf numFmtId="170" fontId="5" fillId="2" borderId="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49" fontId="16" fillId="6" borderId="3" xfId="0" applyNumberFormat="1" applyFont="1" applyFill="1" applyBorder="1" applyAlignment="1">
      <alignment horizontal="left" vertical="center"/>
    </xf>
    <xf numFmtId="49" fontId="16" fillId="6" borderId="4" xfId="0" applyNumberFormat="1" applyFont="1" applyFill="1" applyBorder="1" applyAlignment="1">
      <alignment horizontal="left" vertical="center"/>
    </xf>
    <xf numFmtId="49" fontId="16" fillId="6" borderId="5" xfId="0" applyNumberFormat="1" applyFont="1" applyFill="1" applyBorder="1" applyAlignment="1">
      <alignment horizontal="left" vertical="center"/>
    </xf>
    <xf numFmtId="49" fontId="16" fillId="6" borderId="2" xfId="0" applyNumberFormat="1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 wrapText="1"/>
    </xf>
    <xf numFmtId="49" fontId="2" fillId="6" borderId="4" xfId="0" applyNumberFormat="1" applyFont="1" applyFill="1" applyBorder="1" applyAlignment="1">
      <alignment horizontal="left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49" fontId="15" fillId="5" borderId="4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 applyProtection="1">
      <alignment horizontal="center" vertical="center" wrapText="1"/>
    </xf>
    <xf numFmtId="166" fontId="5" fillId="2" borderId="4" xfId="0" applyNumberFormat="1" applyFont="1" applyFill="1" applyBorder="1" applyAlignment="1" applyProtection="1">
      <alignment horizontal="center" vertic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166" fontId="7" fillId="2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166" fontId="5" fillId="2" borderId="5" xfId="0" applyNumberFormat="1" applyFont="1" applyFill="1" applyBorder="1" applyAlignment="1" applyProtection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</cellXfs>
  <cellStyles count="4">
    <cellStyle name="Гиперссылка" xfId="2" builtinId="8"/>
    <cellStyle name="ЛокСмМТСН" xfId="1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CC"/>
      <rgbColor rgb="FF00FFFF"/>
      <rgbColor rgb="FF800000"/>
      <rgbColor rgb="FF008000"/>
      <rgbColor rgb="FF000080"/>
      <rgbColor rgb="FF808000"/>
      <rgbColor rgb="FFB80047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K62"/>
  <sheetViews>
    <sheetView tabSelected="1" zoomScale="80" zoomScaleNormal="80" zoomScaleSheetLayoutView="50" workbookViewId="0">
      <selection activeCell="E57" sqref="E57"/>
    </sheetView>
  </sheetViews>
  <sheetFormatPr defaultRowHeight="15" x14ac:dyDescent="0.25"/>
  <cols>
    <col min="2" max="2" width="6.140625" customWidth="1"/>
    <col min="3" max="3" width="82.28515625" customWidth="1"/>
    <col min="4" max="4" width="9.28515625" bestFit="1" customWidth="1"/>
    <col min="5" max="5" width="13.85546875" customWidth="1"/>
    <col min="6" max="6" width="13.5703125" customWidth="1"/>
    <col min="7" max="7" width="19.7109375" customWidth="1"/>
    <col min="8" max="8" width="9.28515625" bestFit="1" customWidth="1"/>
    <col min="9" max="9" width="14" customWidth="1"/>
    <col min="10" max="10" width="10.140625" customWidth="1"/>
    <col min="11" max="11" width="10.7109375" customWidth="1"/>
  </cols>
  <sheetData>
    <row r="1" spans="2:11" ht="18.75" x14ac:dyDescent="0.3">
      <c r="G1" s="28"/>
      <c r="H1" s="28"/>
      <c r="I1" s="28"/>
      <c r="J1" s="29"/>
      <c r="K1" s="30"/>
    </row>
    <row r="2" spans="2:11" ht="18" x14ac:dyDescent="0.25">
      <c r="B2" s="140" t="s">
        <v>32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5.75" x14ac:dyDescent="0.25">
      <c r="B3" s="1"/>
      <c r="C3" s="2"/>
      <c r="D3" s="2"/>
      <c r="E3" s="2"/>
      <c r="F3" s="1"/>
      <c r="G3" s="2"/>
      <c r="J3" s="2"/>
      <c r="K3" s="2"/>
    </row>
    <row r="4" spans="2:11" ht="20.25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2:11" ht="18" x14ac:dyDescent="0.25">
      <c r="B5" s="138" t="s">
        <v>0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2:11" ht="20.25" x14ac:dyDescent="0.3">
      <c r="B6" s="137" t="s">
        <v>48</v>
      </c>
      <c r="C6" s="137"/>
      <c r="D6" s="137"/>
      <c r="E6" s="137"/>
      <c r="F6" s="137"/>
      <c r="G6" s="137"/>
      <c r="H6" s="137"/>
      <c r="I6" s="137"/>
      <c r="J6" s="137"/>
      <c r="K6" s="137"/>
    </row>
    <row r="7" spans="2:11" ht="18" x14ac:dyDescent="0.25">
      <c r="B7" s="138" t="s">
        <v>1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2:11" x14ac:dyDescent="0.25">
      <c r="B8" s="7"/>
      <c r="C8" s="8"/>
      <c r="D8" s="8"/>
      <c r="E8" s="8"/>
      <c r="F8" s="8"/>
      <c r="G8" s="9"/>
      <c r="H8" s="8"/>
      <c r="I8" s="8"/>
      <c r="J8" s="8"/>
      <c r="K8" s="8"/>
    </row>
    <row r="9" spans="2:11" ht="15.75" x14ac:dyDescent="0.25">
      <c r="B9" s="141" t="s">
        <v>8</v>
      </c>
      <c r="C9" s="143" t="s">
        <v>9</v>
      </c>
      <c r="D9" s="145" t="s">
        <v>10</v>
      </c>
      <c r="E9" s="146"/>
      <c r="F9" s="146"/>
      <c r="G9" s="147"/>
      <c r="H9" s="145" t="s">
        <v>11</v>
      </c>
      <c r="I9" s="146"/>
      <c r="J9" s="146"/>
      <c r="K9" s="146"/>
    </row>
    <row r="10" spans="2:11" x14ac:dyDescent="0.25">
      <c r="B10" s="142"/>
      <c r="C10" s="144"/>
      <c r="D10" s="19" t="s">
        <v>12</v>
      </c>
      <c r="E10" s="20" t="s">
        <v>13</v>
      </c>
      <c r="F10" s="21" t="s">
        <v>14</v>
      </c>
      <c r="G10" s="21" t="s">
        <v>15</v>
      </c>
      <c r="H10" s="19" t="s">
        <v>12</v>
      </c>
      <c r="I10" s="20" t="s">
        <v>13</v>
      </c>
      <c r="J10" s="20" t="s">
        <v>16</v>
      </c>
      <c r="K10" s="20" t="s">
        <v>17</v>
      </c>
    </row>
    <row r="11" spans="2:11" ht="15.75" customHeight="1" x14ac:dyDescent="0.25">
      <c r="B11" s="38" t="s">
        <v>18</v>
      </c>
      <c r="C11" s="39">
        <v>2</v>
      </c>
      <c r="D11" s="40">
        <v>3</v>
      </c>
      <c r="E11" s="40">
        <v>4</v>
      </c>
      <c r="F11" s="39">
        <v>5</v>
      </c>
      <c r="G11" s="39">
        <v>6</v>
      </c>
      <c r="H11" s="40">
        <v>7</v>
      </c>
      <c r="I11" s="40">
        <v>8</v>
      </c>
      <c r="J11" s="40">
        <v>9</v>
      </c>
      <c r="K11" s="40">
        <v>10</v>
      </c>
    </row>
    <row r="12" spans="2:11" ht="15.75" customHeight="1" x14ac:dyDescent="0.25">
      <c r="B12" s="37" t="s">
        <v>27</v>
      </c>
      <c r="C12" s="37"/>
      <c r="D12" s="121"/>
      <c r="E12" s="122"/>
      <c r="F12" s="122"/>
      <c r="G12" s="122"/>
      <c r="H12" s="122"/>
      <c r="I12" s="122"/>
      <c r="J12" s="122"/>
      <c r="K12" s="122"/>
    </row>
    <row r="13" spans="2:11" ht="20.100000000000001" customHeight="1" x14ac:dyDescent="0.25">
      <c r="B13" s="84"/>
      <c r="C13" s="85" t="str">
        <f>Вход!G18</f>
        <v>Утепление фасадов минплитой МВП</v>
      </c>
      <c r="D13" s="47" t="s">
        <v>37</v>
      </c>
      <c r="E13" s="49">
        <v>5303.4</v>
      </c>
      <c r="F13" s="54">
        <v>100</v>
      </c>
      <c r="G13" s="58">
        <f>F13*E13</f>
        <v>530340</v>
      </c>
      <c r="H13" s="45"/>
      <c r="I13" s="46"/>
      <c r="J13" s="47"/>
      <c r="K13" s="48"/>
    </row>
    <row r="14" spans="2:11" ht="20.100000000000001" customHeight="1" x14ac:dyDescent="0.25">
      <c r="B14" s="36"/>
      <c r="C14" s="43" t="str">
        <f>Вход!G19</f>
        <v>МВП Технониколь Технофас 150 мм</v>
      </c>
      <c r="D14" s="47"/>
      <c r="E14" s="54"/>
      <c r="F14" s="54"/>
      <c r="G14" s="58"/>
      <c r="H14" s="63" t="s">
        <v>40</v>
      </c>
      <c r="I14" s="71">
        <f>ROUNDUP(E13*K14/J14,0)*0.15</f>
        <v>835.35</v>
      </c>
      <c r="J14" s="98">
        <v>1</v>
      </c>
      <c r="K14" s="99">
        <v>1.05</v>
      </c>
    </row>
    <row r="15" spans="2:11" ht="20.100000000000001" customHeight="1" x14ac:dyDescent="0.25">
      <c r="B15" s="103"/>
      <c r="C15" s="43" t="str">
        <f>Вход!G20</f>
        <v>Клеевая смесь Weber.therm MV (6кг/м2), 25кг</v>
      </c>
      <c r="D15" s="47"/>
      <c r="E15" s="54"/>
      <c r="F15" s="54"/>
      <c r="G15" s="58"/>
      <c r="H15" s="63" t="s">
        <v>68</v>
      </c>
      <c r="I15" s="64">
        <f>ROUNDUP(E13*K15/J15,0)</f>
        <v>1273</v>
      </c>
      <c r="J15" s="98">
        <v>25</v>
      </c>
      <c r="K15" s="99">
        <v>6</v>
      </c>
    </row>
    <row r="16" spans="2:11" ht="20.100000000000001" customHeight="1" x14ac:dyDescent="0.25">
      <c r="B16" s="103"/>
      <c r="C16" s="43" t="str">
        <f>Вход!G21</f>
        <v>Грибки 220 с термоголовкой</v>
      </c>
      <c r="D16" s="47"/>
      <c r="E16" s="54"/>
      <c r="F16" s="54"/>
      <c r="G16" s="58"/>
      <c r="H16" s="63" t="s">
        <v>90</v>
      </c>
      <c r="I16" s="64">
        <f>ROUNDUP(E13*K16/J16,0)</f>
        <v>47731</v>
      </c>
      <c r="J16" s="98">
        <v>1</v>
      </c>
      <c r="K16" s="99">
        <v>9</v>
      </c>
    </row>
    <row r="17" spans="2:11" ht="20.100000000000001" customHeight="1" x14ac:dyDescent="0.25">
      <c r="B17" s="84"/>
      <c r="C17" s="85" t="s">
        <v>96</v>
      </c>
      <c r="D17" s="47" t="s">
        <v>37</v>
      </c>
      <c r="E17" s="49">
        <v>5303.4</v>
      </c>
      <c r="F17" s="54">
        <v>150</v>
      </c>
      <c r="G17" s="58">
        <f>F17*E17</f>
        <v>795510</v>
      </c>
      <c r="H17" s="45"/>
      <c r="I17" s="46"/>
      <c r="J17" s="47"/>
      <c r="K17" s="48"/>
    </row>
    <row r="18" spans="2:11" ht="20.100000000000001" customHeight="1" x14ac:dyDescent="0.25">
      <c r="B18" s="36"/>
      <c r="C18" s="60" t="s">
        <v>49</v>
      </c>
      <c r="D18" s="61"/>
      <c r="E18" s="62"/>
      <c r="F18" s="62"/>
      <c r="G18" s="58"/>
      <c r="H18" s="63" t="s">
        <v>37</v>
      </c>
      <c r="I18" s="100">
        <f>ROUNDUP(E17*K18/J18,0)</f>
        <v>5834</v>
      </c>
      <c r="J18" s="98">
        <v>1</v>
      </c>
      <c r="K18" s="99">
        <v>1.1000000000000001</v>
      </c>
    </row>
    <row r="19" spans="2:11" ht="20.100000000000001" customHeight="1" x14ac:dyDescent="0.25">
      <c r="B19" s="115"/>
      <c r="C19" s="43" t="s">
        <v>99</v>
      </c>
      <c r="D19" s="47"/>
      <c r="E19" s="54"/>
      <c r="F19" s="54"/>
      <c r="G19" s="58"/>
      <c r="H19" s="63" t="s">
        <v>68</v>
      </c>
      <c r="I19" s="71">
        <f>ROUNDUP(E17*K19/J19,0)</f>
        <v>1273</v>
      </c>
      <c r="J19" s="98">
        <v>25</v>
      </c>
      <c r="K19" s="99">
        <v>6</v>
      </c>
    </row>
    <row r="20" spans="2:11" ht="22.5" customHeight="1" x14ac:dyDescent="0.25">
      <c r="B20" s="84"/>
      <c r="C20" s="85" t="s">
        <v>50</v>
      </c>
      <c r="D20" s="64" t="s">
        <v>37</v>
      </c>
      <c r="E20" s="49">
        <v>5303.4</v>
      </c>
      <c r="F20" s="65">
        <v>350</v>
      </c>
      <c r="G20" s="58">
        <f>F20*E20</f>
        <v>1856189.9999999998</v>
      </c>
      <c r="H20" s="67"/>
      <c r="I20" s="46"/>
      <c r="J20" s="41"/>
      <c r="K20" s="42"/>
    </row>
    <row r="21" spans="2:11" ht="20.100000000000001" customHeight="1" x14ac:dyDescent="0.25">
      <c r="B21" s="36"/>
      <c r="C21" s="43" t="s">
        <v>82</v>
      </c>
      <c r="D21" s="64"/>
      <c r="E21" s="65"/>
      <c r="F21" s="65"/>
      <c r="G21" s="66"/>
      <c r="H21" s="63" t="s">
        <v>68</v>
      </c>
      <c r="I21" s="71">
        <f>ROUNDUP(E20*K21/J21,0)</f>
        <v>446</v>
      </c>
      <c r="J21" s="98">
        <v>25</v>
      </c>
      <c r="K21" s="99">
        <v>2.1</v>
      </c>
    </row>
    <row r="22" spans="2:11" ht="20.100000000000001" customHeight="1" x14ac:dyDescent="0.25">
      <c r="B22" s="115"/>
      <c r="C22" s="43" t="s">
        <v>100</v>
      </c>
      <c r="D22" s="64"/>
      <c r="E22" s="65"/>
      <c r="F22" s="65"/>
      <c r="G22" s="66"/>
      <c r="H22" s="63" t="s">
        <v>92</v>
      </c>
      <c r="I22" s="71">
        <v>302</v>
      </c>
      <c r="J22" s="98"/>
      <c r="K22" s="99"/>
    </row>
    <row r="23" spans="2:11" ht="20.100000000000001" customHeight="1" x14ac:dyDescent="0.25">
      <c r="B23" s="115"/>
      <c r="C23" s="43" t="s">
        <v>101</v>
      </c>
      <c r="D23" s="64"/>
      <c r="E23" s="65"/>
      <c r="F23" s="65"/>
      <c r="G23" s="66"/>
      <c r="H23" s="63" t="s">
        <v>92</v>
      </c>
      <c r="I23" s="71">
        <v>1500</v>
      </c>
      <c r="J23" s="98"/>
      <c r="K23" s="99"/>
    </row>
    <row r="24" spans="2:11" ht="20.100000000000001" customHeight="1" x14ac:dyDescent="0.25">
      <c r="B24" s="115"/>
      <c r="C24" s="43" t="s">
        <v>102</v>
      </c>
      <c r="D24" s="64"/>
      <c r="E24" s="65"/>
      <c r="F24" s="65"/>
      <c r="G24" s="66"/>
      <c r="H24" s="63" t="s">
        <v>92</v>
      </c>
      <c r="I24" s="71">
        <f>76*2*2+270</f>
        <v>574</v>
      </c>
      <c r="J24" s="98"/>
      <c r="K24" s="99"/>
    </row>
    <row r="25" spans="2:11" ht="20.100000000000001" customHeight="1" x14ac:dyDescent="0.25">
      <c r="B25" s="115"/>
      <c r="C25" s="43" t="s">
        <v>103</v>
      </c>
      <c r="D25" s="64"/>
      <c r="E25" s="65"/>
      <c r="F25" s="65"/>
      <c r="G25" s="66"/>
      <c r="H25" s="63" t="s">
        <v>92</v>
      </c>
      <c r="I25" s="71">
        <f>27*15</f>
        <v>405</v>
      </c>
      <c r="J25" s="98"/>
      <c r="K25" s="99"/>
    </row>
    <row r="26" spans="2:11" ht="20.100000000000001" customHeight="1" x14ac:dyDescent="0.25">
      <c r="B26" s="84"/>
      <c r="C26" s="85" t="s">
        <v>51</v>
      </c>
      <c r="D26" s="64" t="s">
        <v>37</v>
      </c>
      <c r="E26" s="49">
        <v>5303.4</v>
      </c>
      <c r="F26" s="65">
        <v>100</v>
      </c>
      <c r="G26" s="58">
        <f>F26*E26</f>
        <v>530340</v>
      </c>
      <c r="H26" s="67"/>
      <c r="I26" s="46"/>
      <c r="J26" s="41"/>
      <c r="K26" s="42"/>
    </row>
    <row r="27" spans="2:11" ht="33.75" customHeight="1" x14ac:dyDescent="0.25">
      <c r="B27" s="36"/>
      <c r="C27" s="43" t="s">
        <v>67</v>
      </c>
      <c r="D27" s="64"/>
      <c r="E27" s="65"/>
      <c r="F27" s="65"/>
      <c r="G27" s="66"/>
      <c r="H27" s="63" t="s">
        <v>38</v>
      </c>
      <c r="I27" s="71">
        <f>ROUNDUP(E20*K27/J27,0)</f>
        <v>18</v>
      </c>
      <c r="J27" s="98">
        <v>30</v>
      </c>
      <c r="K27" s="99">
        <v>0.1</v>
      </c>
    </row>
    <row r="28" spans="2:11" ht="20.100000000000001" customHeight="1" x14ac:dyDescent="0.25">
      <c r="B28" s="36"/>
      <c r="C28" s="57" t="s">
        <v>74</v>
      </c>
      <c r="D28" s="51"/>
      <c r="E28" s="51"/>
      <c r="F28" s="52"/>
      <c r="G28" s="44"/>
      <c r="H28" s="63" t="s">
        <v>38</v>
      </c>
      <c r="I28" s="71">
        <f>ROUNDUP(E26*K28/J28,0)</f>
        <v>48</v>
      </c>
      <c r="J28" s="98">
        <v>45</v>
      </c>
      <c r="K28" s="99">
        <v>0.4</v>
      </c>
    </row>
    <row r="29" spans="2:11" ht="31.5" customHeight="1" x14ac:dyDescent="0.25">
      <c r="B29" s="115"/>
      <c r="C29" s="87" t="s">
        <v>104</v>
      </c>
      <c r="D29" s="51" t="s">
        <v>37</v>
      </c>
      <c r="E29" s="51">
        <v>1451.9</v>
      </c>
      <c r="F29" s="52">
        <v>250</v>
      </c>
      <c r="G29" s="58">
        <f>F29*E29</f>
        <v>362975</v>
      </c>
      <c r="H29" s="51"/>
      <c r="I29" s="51"/>
      <c r="J29" s="41"/>
      <c r="K29" s="42"/>
    </row>
    <row r="30" spans="2:11" ht="30" customHeight="1" x14ac:dyDescent="0.25">
      <c r="B30" s="115"/>
      <c r="C30" s="43" t="s">
        <v>67</v>
      </c>
      <c r="D30" s="64"/>
      <c r="E30" s="65"/>
      <c r="F30" s="65"/>
      <c r="G30" s="66"/>
      <c r="H30" s="63" t="s">
        <v>38</v>
      </c>
      <c r="I30" s="71">
        <f>ROUNDUP(E29*K30/J30,0)</f>
        <v>10</v>
      </c>
      <c r="J30" s="98">
        <v>30</v>
      </c>
      <c r="K30" s="99">
        <v>0.2</v>
      </c>
    </row>
    <row r="31" spans="2:11" ht="30.75" customHeight="1" x14ac:dyDescent="0.25">
      <c r="B31" s="115"/>
      <c r="C31" s="50" t="s">
        <v>88</v>
      </c>
      <c r="D31" s="51"/>
      <c r="E31" s="51"/>
      <c r="F31" s="51"/>
      <c r="G31" s="69"/>
      <c r="H31" s="63" t="s">
        <v>75</v>
      </c>
      <c r="I31" s="71">
        <f>ROUNDUP(E29/J31*K31,0)</f>
        <v>204</v>
      </c>
      <c r="J31" s="98">
        <v>20</v>
      </c>
      <c r="K31" s="99">
        <v>2.8</v>
      </c>
    </row>
    <row r="32" spans="2:11" ht="33.75" customHeight="1" x14ac:dyDescent="0.25">
      <c r="B32" s="115"/>
      <c r="C32" s="43" t="s">
        <v>67</v>
      </c>
      <c r="D32" s="64"/>
      <c r="E32" s="65"/>
      <c r="F32" s="65"/>
      <c r="G32" s="66"/>
      <c r="H32" s="63" t="s">
        <v>38</v>
      </c>
      <c r="I32" s="71">
        <f>ROUNDUP(E29*K32/J32,0)</f>
        <v>5</v>
      </c>
      <c r="J32" s="98">
        <v>30</v>
      </c>
      <c r="K32" s="99">
        <v>0.1</v>
      </c>
    </row>
    <row r="33" spans="2:11" ht="20.100000000000001" customHeight="1" x14ac:dyDescent="0.25">
      <c r="B33" s="115"/>
      <c r="C33" s="57" t="s">
        <v>74</v>
      </c>
      <c r="D33" s="51"/>
      <c r="E33" s="51"/>
      <c r="F33" s="52"/>
      <c r="G33" s="44"/>
      <c r="H33" s="63" t="s">
        <v>38</v>
      </c>
      <c r="I33" s="71">
        <f>ROUNDUP(E29*K33/J33,0)</f>
        <v>13</v>
      </c>
      <c r="J33" s="98">
        <v>45</v>
      </c>
      <c r="K33" s="99">
        <v>0.4</v>
      </c>
    </row>
    <row r="34" spans="2:11" ht="20.100000000000001" customHeight="1" x14ac:dyDescent="0.25">
      <c r="B34" s="115"/>
      <c r="C34" s="86" t="s">
        <v>60</v>
      </c>
      <c r="D34" s="51" t="s">
        <v>37</v>
      </c>
      <c r="E34" s="51">
        <v>263</v>
      </c>
      <c r="F34" s="52">
        <v>250</v>
      </c>
      <c r="G34" s="58">
        <f>F34*E34</f>
        <v>65750</v>
      </c>
      <c r="H34" s="51"/>
      <c r="I34" s="51"/>
      <c r="J34" s="41"/>
      <c r="K34" s="42"/>
    </row>
    <row r="35" spans="2:11" ht="30" customHeight="1" x14ac:dyDescent="0.25">
      <c r="B35" s="115"/>
      <c r="C35" s="43" t="s">
        <v>67</v>
      </c>
      <c r="D35" s="64"/>
      <c r="E35" s="65"/>
      <c r="F35" s="65"/>
      <c r="G35" s="66"/>
      <c r="H35" s="63" t="s">
        <v>38</v>
      </c>
      <c r="I35" s="71">
        <f>ROUNDUP(E34*K35/J35,0)</f>
        <v>2</v>
      </c>
      <c r="J35" s="98">
        <v>30</v>
      </c>
      <c r="K35" s="99">
        <v>0.2</v>
      </c>
    </row>
    <row r="36" spans="2:11" ht="32.25" customHeight="1" x14ac:dyDescent="0.25">
      <c r="B36" s="115"/>
      <c r="C36" s="50" t="s">
        <v>88</v>
      </c>
      <c r="D36" s="51"/>
      <c r="E36" s="51"/>
      <c r="F36" s="51"/>
      <c r="G36" s="69"/>
      <c r="H36" s="63" t="s">
        <v>75</v>
      </c>
      <c r="I36" s="71">
        <f>ROUNDUP(E34/J36*K36,0)</f>
        <v>37</v>
      </c>
      <c r="J36" s="98">
        <v>20</v>
      </c>
      <c r="K36" s="99">
        <v>2.8</v>
      </c>
    </row>
    <row r="37" spans="2:11" ht="33" customHeight="1" x14ac:dyDescent="0.25">
      <c r="B37" s="115"/>
      <c r="C37" s="43" t="s">
        <v>67</v>
      </c>
      <c r="D37" s="64"/>
      <c r="E37" s="65"/>
      <c r="F37" s="65"/>
      <c r="G37" s="66"/>
      <c r="H37" s="63" t="s">
        <v>38</v>
      </c>
      <c r="I37" s="71">
        <f>ROUNDUP(E34*K37/J37,0)</f>
        <v>1</v>
      </c>
      <c r="J37" s="98">
        <v>30</v>
      </c>
      <c r="K37" s="99">
        <v>0.1</v>
      </c>
    </row>
    <row r="38" spans="2:11" ht="20.100000000000001" customHeight="1" x14ac:dyDescent="0.25">
      <c r="B38" s="115"/>
      <c r="C38" s="57" t="s">
        <v>74</v>
      </c>
      <c r="D38" s="51"/>
      <c r="E38" s="51"/>
      <c r="F38" s="52"/>
      <c r="G38" s="44"/>
      <c r="H38" s="63" t="s">
        <v>38</v>
      </c>
      <c r="I38" s="71">
        <f>ROUNDUP(E34*K38/J38,0)</f>
        <v>3</v>
      </c>
      <c r="J38" s="98">
        <v>45</v>
      </c>
      <c r="K38" s="99">
        <v>0.4</v>
      </c>
    </row>
    <row r="39" spans="2:11" ht="20.100000000000001" customHeight="1" x14ac:dyDescent="0.25">
      <c r="B39" s="105"/>
      <c r="C39" s="106" t="s">
        <v>94</v>
      </c>
      <c r="D39" s="107" t="s">
        <v>37</v>
      </c>
      <c r="E39" s="107">
        <v>1070.3</v>
      </c>
      <c r="F39" s="108">
        <v>300</v>
      </c>
      <c r="G39" s="109">
        <f>F39*E39</f>
        <v>321090</v>
      </c>
      <c r="H39" s="107"/>
      <c r="I39" s="107"/>
      <c r="J39" s="110"/>
      <c r="K39" s="111"/>
    </row>
    <row r="40" spans="2:11" ht="20.100000000000001" customHeight="1" x14ac:dyDescent="0.25">
      <c r="B40" s="105"/>
      <c r="C40" s="106" t="s">
        <v>95</v>
      </c>
      <c r="D40" s="107"/>
      <c r="E40" s="107"/>
      <c r="F40" s="108"/>
      <c r="G40" s="109"/>
      <c r="H40" s="107" t="s">
        <v>37</v>
      </c>
      <c r="I40" s="107">
        <f>E39</f>
        <v>1070.3</v>
      </c>
      <c r="J40" s="110"/>
      <c r="K40" s="111"/>
    </row>
    <row r="41" spans="2:11" ht="20.100000000000001" customHeight="1" x14ac:dyDescent="0.25">
      <c r="B41" s="105"/>
      <c r="C41" s="114" t="s">
        <v>93</v>
      </c>
      <c r="D41" s="107"/>
      <c r="E41" s="107"/>
      <c r="F41" s="108"/>
      <c r="G41" s="112"/>
      <c r="H41" s="107" t="s">
        <v>40</v>
      </c>
      <c r="I41" s="113">
        <v>149</v>
      </c>
      <c r="J41" s="110">
        <v>1</v>
      </c>
      <c r="K41" s="111">
        <v>1.05</v>
      </c>
    </row>
    <row r="42" spans="2:11" ht="20.100000000000001" customHeight="1" x14ac:dyDescent="0.25">
      <c r="B42" s="115"/>
      <c r="C42" s="86" t="s">
        <v>61</v>
      </c>
      <c r="D42" s="51" t="s">
        <v>37</v>
      </c>
      <c r="E42" s="94">
        <v>1070.3</v>
      </c>
      <c r="F42" s="52">
        <v>100</v>
      </c>
      <c r="G42" s="58">
        <f>F42*E42</f>
        <v>107030</v>
      </c>
      <c r="H42" s="51"/>
      <c r="I42" s="51"/>
      <c r="J42" s="41"/>
      <c r="K42" s="42"/>
    </row>
    <row r="43" spans="2:11" ht="33" customHeight="1" x14ac:dyDescent="0.25">
      <c r="B43" s="115"/>
      <c r="C43" s="43" t="s">
        <v>67</v>
      </c>
      <c r="D43" s="64"/>
      <c r="E43" s="65"/>
      <c r="F43" s="65"/>
      <c r="G43" s="66"/>
      <c r="H43" s="63" t="s">
        <v>38</v>
      </c>
      <c r="I43" s="71">
        <f>ROUNDUP(E42*K43/J43,0)</f>
        <v>8</v>
      </c>
      <c r="J43" s="98">
        <v>30</v>
      </c>
      <c r="K43" s="99">
        <v>0.2</v>
      </c>
    </row>
    <row r="44" spans="2:11" ht="31.5" customHeight="1" x14ac:dyDescent="0.25">
      <c r="B44" s="115"/>
      <c r="C44" s="50" t="s">
        <v>88</v>
      </c>
      <c r="D44" s="51"/>
      <c r="E44" s="51"/>
      <c r="F44" s="51"/>
      <c r="G44" s="69"/>
      <c r="H44" s="63" t="s">
        <v>75</v>
      </c>
      <c r="I44" s="71">
        <f>ROUNDUP(E42/J44*K44,0)</f>
        <v>150</v>
      </c>
      <c r="J44" s="98">
        <v>20</v>
      </c>
      <c r="K44" s="99">
        <v>2.8</v>
      </c>
    </row>
    <row r="45" spans="2:11" ht="34.5" customHeight="1" x14ac:dyDescent="0.25">
      <c r="B45" s="115"/>
      <c r="C45" s="43" t="s">
        <v>67</v>
      </c>
      <c r="D45" s="64"/>
      <c r="E45" s="65"/>
      <c r="F45" s="65"/>
      <c r="G45" s="66"/>
      <c r="H45" s="63" t="s">
        <v>38</v>
      </c>
      <c r="I45" s="71">
        <f>ROUNDUP(E42*K45/J45,0)</f>
        <v>4</v>
      </c>
      <c r="J45" s="98">
        <v>30</v>
      </c>
      <c r="K45" s="99">
        <v>0.1</v>
      </c>
    </row>
    <row r="46" spans="2:11" ht="20.100000000000001" customHeight="1" x14ac:dyDescent="0.25">
      <c r="B46" s="115"/>
      <c r="C46" s="57" t="s">
        <v>74</v>
      </c>
      <c r="D46" s="51"/>
      <c r="E46" s="51"/>
      <c r="F46" s="52"/>
      <c r="G46" s="44"/>
      <c r="H46" s="63" t="s">
        <v>38</v>
      </c>
      <c r="I46" s="71">
        <f>ROUNDUP(E42*K46/J46,0)</f>
        <v>10</v>
      </c>
      <c r="J46" s="98">
        <v>45</v>
      </c>
      <c r="K46" s="99">
        <v>0.4</v>
      </c>
    </row>
    <row r="47" spans="2:11" ht="15.75" x14ac:dyDescent="0.25">
      <c r="B47" s="136" t="s">
        <v>24</v>
      </c>
      <c r="C47" s="136"/>
      <c r="D47" s="81"/>
      <c r="E47" s="81"/>
      <c r="F47" s="81"/>
      <c r="G47" s="33">
        <f>SUM(G13:G46)</f>
        <v>4569225</v>
      </c>
      <c r="H47" s="82"/>
      <c r="I47" s="82"/>
      <c r="J47" s="82"/>
      <c r="K47" s="82"/>
    </row>
    <row r="48" spans="2:11" ht="5.0999999999999996" customHeight="1" x14ac:dyDescent="0.25"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2:11" ht="5.0999999999999996" customHeight="1" x14ac:dyDescent="0.25">
      <c r="B49" s="127"/>
      <c r="C49" s="128"/>
      <c r="D49" s="128"/>
      <c r="E49" s="128"/>
      <c r="F49" s="128"/>
      <c r="G49" s="134"/>
      <c r="H49" s="135"/>
      <c r="I49" s="135"/>
      <c r="J49" s="135"/>
      <c r="K49" s="135"/>
    </row>
    <row r="50" spans="2:11" x14ac:dyDescent="0.25">
      <c r="B50" s="37" t="s">
        <v>27</v>
      </c>
      <c r="C50" s="37"/>
      <c r="D50" s="121"/>
      <c r="E50" s="122"/>
      <c r="F50" s="122"/>
      <c r="G50" s="123"/>
      <c r="H50" s="124"/>
      <c r="I50" s="124"/>
      <c r="J50" s="124"/>
      <c r="K50" s="124"/>
    </row>
    <row r="51" spans="2:11" ht="15.75" x14ac:dyDescent="0.25">
      <c r="B51" s="102"/>
      <c r="C51" s="104" t="s">
        <v>110</v>
      </c>
      <c r="D51" s="51"/>
      <c r="E51" s="94"/>
      <c r="F51" s="52"/>
      <c r="G51" s="58"/>
      <c r="H51" s="51" t="s">
        <v>109</v>
      </c>
      <c r="I51" s="94">
        <v>45</v>
      </c>
      <c r="J51" s="91"/>
      <c r="K51" s="48"/>
    </row>
    <row r="52" spans="2:11" ht="15.75" x14ac:dyDescent="0.25">
      <c r="B52" s="117"/>
      <c r="C52" s="104" t="s">
        <v>111</v>
      </c>
      <c r="D52" s="51" t="s">
        <v>90</v>
      </c>
      <c r="E52" s="94">
        <v>18</v>
      </c>
      <c r="F52" s="52">
        <v>4000</v>
      </c>
      <c r="G52" s="58">
        <f>F52*E52</f>
        <v>72000</v>
      </c>
      <c r="H52" s="88"/>
      <c r="I52" s="89"/>
      <c r="J52" s="91"/>
      <c r="K52" s="48"/>
    </row>
    <row r="53" spans="2:11" ht="15.75" x14ac:dyDescent="0.25">
      <c r="B53" s="117"/>
      <c r="C53" s="104" t="s">
        <v>112</v>
      </c>
      <c r="D53" s="51"/>
      <c r="E53" s="94"/>
      <c r="F53" s="52"/>
      <c r="G53" s="58">
        <v>10000</v>
      </c>
      <c r="H53" s="88"/>
      <c r="I53" s="89"/>
      <c r="J53" s="91"/>
      <c r="K53" s="48"/>
    </row>
    <row r="54" spans="2:11" ht="15.75" x14ac:dyDescent="0.25">
      <c r="B54" s="117"/>
      <c r="C54" s="104" t="s">
        <v>113</v>
      </c>
      <c r="D54" s="51" t="s">
        <v>90</v>
      </c>
      <c r="E54" s="94">
        <v>18</v>
      </c>
      <c r="F54" s="52">
        <v>2000</v>
      </c>
      <c r="G54" s="58">
        <f>F54*E54</f>
        <v>36000</v>
      </c>
      <c r="H54" s="88"/>
      <c r="I54" s="89"/>
      <c r="J54" s="91"/>
      <c r="K54" s="48"/>
    </row>
    <row r="55" spans="2:11" ht="15.75" x14ac:dyDescent="0.25">
      <c r="B55" s="117"/>
      <c r="C55" s="118" t="s">
        <v>114</v>
      </c>
      <c r="D55" s="51"/>
      <c r="E55" s="94"/>
      <c r="F55" s="52"/>
      <c r="G55" s="58"/>
      <c r="H55" s="51" t="s">
        <v>92</v>
      </c>
      <c r="I55" s="89">
        <v>100</v>
      </c>
      <c r="J55" s="91"/>
      <c r="K55" s="48"/>
    </row>
    <row r="56" spans="2:11" ht="15.75" x14ac:dyDescent="0.25">
      <c r="B56" s="117"/>
      <c r="C56" s="118" t="s">
        <v>115</v>
      </c>
      <c r="D56" s="51"/>
      <c r="E56" s="94"/>
      <c r="F56" s="52"/>
      <c r="G56" s="58"/>
      <c r="H56" s="51" t="s">
        <v>92</v>
      </c>
      <c r="I56" s="89">
        <v>900</v>
      </c>
      <c r="J56" s="91"/>
      <c r="K56" s="48"/>
    </row>
    <row r="57" spans="2:11" ht="15.75" x14ac:dyDescent="0.25">
      <c r="B57" s="117"/>
      <c r="C57" s="118" t="s">
        <v>116</v>
      </c>
      <c r="D57" s="51"/>
      <c r="E57" s="94"/>
      <c r="F57" s="52"/>
      <c r="G57" s="58"/>
      <c r="H57" s="51" t="s">
        <v>90</v>
      </c>
      <c r="I57" s="89">
        <v>1</v>
      </c>
      <c r="J57" s="91"/>
      <c r="K57" s="48"/>
    </row>
    <row r="58" spans="2:11" ht="15.75" customHeight="1" x14ac:dyDescent="0.25">
      <c r="B58" s="125" t="s">
        <v>24</v>
      </c>
      <c r="C58" s="126"/>
      <c r="D58" s="32"/>
      <c r="E58" s="32"/>
      <c r="F58" s="32"/>
      <c r="G58" s="33">
        <f>SUM(G51:G57)</f>
        <v>118000</v>
      </c>
      <c r="H58" s="34"/>
      <c r="I58" s="35"/>
      <c r="J58" s="35"/>
      <c r="K58" s="35"/>
    </row>
    <row r="59" spans="2:11" ht="5.0999999999999996" customHeight="1" x14ac:dyDescent="0.25">
      <c r="B59" s="127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2:11" ht="15.75" customHeight="1" x14ac:dyDescent="0.25">
      <c r="B60" s="23"/>
      <c r="C60" s="23"/>
      <c r="D60" s="129" t="s">
        <v>19</v>
      </c>
      <c r="E60" s="130"/>
      <c r="F60" s="131"/>
      <c r="G60" s="119">
        <f>G47+G58</f>
        <v>4687225</v>
      </c>
      <c r="H60" s="132"/>
      <c r="I60" s="133"/>
      <c r="J60" s="133"/>
      <c r="K60" s="133"/>
    </row>
    <row r="61" spans="2:11" ht="18" customHeight="1" x14ac:dyDescent="0.25">
      <c r="B61" s="13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2:11" ht="18" x14ac:dyDescent="0.25">
      <c r="B62" s="13"/>
      <c r="C62" s="27"/>
      <c r="D62" s="14"/>
      <c r="E62" s="14"/>
      <c r="F62" s="14"/>
      <c r="G62" s="15"/>
      <c r="H62" s="14"/>
      <c r="I62" s="14"/>
      <c r="J62" s="14"/>
      <c r="K62" s="14"/>
    </row>
  </sheetData>
  <mergeCells count="19">
    <mergeCell ref="B5:K5"/>
    <mergeCell ref="B4:K4"/>
    <mergeCell ref="B2:K2"/>
    <mergeCell ref="B9:B10"/>
    <mergeCell ref="C9:C10"/>
    <mergeCell ref="D9:G9"/>
    <mergeCell ref="H9:K9"/>
    <mergeCell ref="B49:K49"/>
    <mergeCell ref="B47:C47"/>
    <mergeCell ref="B48:K48"/>
    <mergeCell ref="D12:K12"/>
    <mergeCell ref="B6:K6"/>
    <mergeCell ref="B7:K7"/>
    <mergeCell ref="C61:K61"/>
    <mergeCell ref="D50:K50"/>
    <mergeCell ref="B58:C58"/>
    <mergeCell ref="B59:K59"/>
    <mergeCell ref="D60:F60"/>
    <mergeCell ref="H60:K60"/>
  </mergeCells>
  <pageMargins left="0.19685039370078741" right="0.19685039370078741" top="0.31496062992125984" bottom="0.23622047244094491" header="0.31496062992125984" footer="0.31496062992125984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F1:R109"/>
  <sheetViews>
    <sheetView topLeftCell="F10" zoomScale="80" zoomScaleNormal="80" zoomScaleSheetLayoutView="50" workbookViewId="0">
      <selection activeCell="M20" sqref="M20"/>
    </sheetView>
  </sheetViews>
  <sheetFormatPr defaultRowHeight="15" x14ac:dyDescent="0.25"/>
  <cols>
    <col min="6" max="6" width="6.140625" customWidth="1"/>
    <col min="7" max="7" width="82.28515625" customWidth="1"/>
    <col min="8" max="8" width="9.28515625" bestFit="1" customWidth="1"/>
    <col min="9" max="9" width="13.85546875" customWidth="1"/>
    <col min="10" max="10" width="13.5703125" customWidth="1"/>
    <col min="11" max="11" width="19.7109375" customWidth="1"/>
    <col min="12" max="12" width="9.28515625" bestFit="1" customWidth="1"/>
    <col min="13" max="13" width="14" customWidth="1"/>
    <col min="14" max="14" width="10.140625" customWidth="1"/>
    <col min="15" max="15" width="10.7109375" customWidth="1"/>
    <col min="16" max="16" width="11.140625" customWidth="1"/>
    <col min="17" max="17" width="19.7109375" customWidth="1"/>
  </cols>
  <sheetData>
    <row r="1" spans="6:18" ht="18.75" customHeight="1" x14ac:dyDescent="0.25">
      <c r="F1" s="156" t="s">
        <v>47</v>
      </c>
      <c r="G1" s="156"/>
      <c r="K1" s="157" t="s">
        <v>41</v>
      </c>
      <c r="L1" s="157"/>
      <c r="M1" s="157"/>
      <c r="N1" s="157"/>
      <c r="O1" s="157"/>
      <c r="P1" s="157"/>
      <c r="Q1" s="157"/>
    </row>
    <row r="2" spans="6:18" ht="18.75" x14ac:dyDescent="0.3">
      <c r="K2" s="28"/>
      <c r="L2" s="28"/>
      <c r="M2" s="28"/>
      <c r="N2" s="29"/>
      <c r="O2" s="30"/>
      <c r="P2" s="31"/>
      <c r="Q2" s="31"/>
    </row>
    <row r="3" spans="6:18" ht="18" x14ac:dyDescent="0.25">
      <c r="F3" s="140" t="s">
        <v>32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6:18" ht="15.75" x14ac:dyDescent="0.25">
      <c r="F4" s="1"/>
      <c r="G4" s="2"/>
      <c r="H4" s="2"/>
      <c r="I4" s="2"/>
      <c r="J4" s="1"/>
      <c r="K4" s="2"/>
      <c r="N4" s="2"/>
      <c r="O4" s="2"/>
      <c r="P4" s="3"/>
      <c r="Q4" s="2"/>
    </row>
    <row r="5" spans="6:18" ht="20.25" x14ac:dyDescent="0.25"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6:18" ht="18" x14ac:dyDescent="0.25">
      <c r="F6" s="138" t="s">
        <v>0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6:18" ht="20.25" x14ac:dyDescent="0.3">
      <c r="F7" s="137" t="s">
        <v>48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6:18" ht="18" x14ac:dyDescent="0.25">
      <c r="F8" s="138" t="s">
        <v>1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spans="6:18" x14ac:dyDescent="0.25">
      <c r="F9" s="4"/>
      <c r="G9" s="4"/>
      <c r="H9" s="4"/>
      <c r="I9" s="4"/>
      <c r="J9" s="4"/>
      <c r="L9" s="5" t="s">
        <v>2</v>
      </c>
      <c r="M9" s="5"/>
      <c r="N9" s="4"/>
      <c r="O9" s="4"/>
      <c r="P9" s="4" t="s">
        <v>3</v>
      </c>
      <c r="Q9" s="6">
        <f>H90/1000</f>
        <v>5902.0519700625</v>
      </c>
    </row>
    <row r="10" spans="6:18" x14ac:dyDescent="0.25">
      <c r="F10" s="4"/>
      <c r="G10" s="4"/>
      <c r="H10" s="4"/>
      <c r="I10" s="4"/>
      <c r="J10" s="4"/>
      <c r="L10" s="5" t="s">
        <v>4</v>
      </c>
      <c r="M10" s="5"/>
      <c r="N10" s="4"/>
      <c r="O10" s="4"/>
      <c r="P10" s="4" t="s">
        <v>3</v>
      </c>
      <c r="Q10" s="6">
        <f>K88/1000</f>
        <v>3100.5861</v>
      </c>
    </row>
    <row r="11" spans="6:18" x14ac:dyDescent="0.25">
      <c r="F11" s="4"/>
      <c r="G11" s="4"/>
      <c r="H11" s="4"/>
      <c r="I11" s="4"/>
      <c r="J11" s="4"/>
      <c r="L11" s="5" t="s">
        <v>5</v>
      </c>
      <c r="M11" s="5"/>
      <c r="N11" s="4"/>
      <c r="O11" s="4"/>
      <c r="P11" s="4" t="s">
        <v>3</v>
      </c>
      <c r="Q11" s="6">
        <f>Q88/1000</f>
        <v>2629.5614437500003</v>
      </c>
    </row>
    <row r="12" spans="6:18" x14ac:dyDescent="0.25">
      <c r="F12" s="4"/>
      <c r="G12" s="4"/>
      <c r="H12" s="4"/>
      <c r="I12" s="4"/>
      <c r="J12" s="4"/>
      <c r="L12" s="5" t="s">
        <v>6</v>
      </c>
      <c r="M12" s="5"/>
      <c r="N12" s="4"/>
      <c r="O12" s="4"/>
      <c r="P12" s="4" t="s">
        <v>7</v>
      </c>
      <c r="Q12" s="6"/>
    </row>
    <row r="13" spans="6:18" x14ac:dyDescent="0.25">
      <c r="F13" s="7"/>
      <c r="G13" s="8"/>
      <c r="H13" s="8"/>
      <c r="I13" s="8"/>
      <c r="J13" s="8"/>
      <c r="K13" s="9"/>
      <c r="L13" s="8"/>
      <c r="M13" s="8"/>
      <c r="N13" s="8"/>
      <c r="O13" s="8"/>
      <c r="P13" s="10"/>
      <c r="Q13" s="8"/>
    </row>
    <row r="14" spans="6:18" ht="15.75" x14ac:dyDescent="0.25">
      <c r="F14" s="141" t="s">
        <v>8</v>
      </c>
      <c r="G14" s="143" t="s">
        <v>9</v>
      </c>
      <c r="H14" s="145" t="s">
        <v>10</v>
      </c>
      <c r="I14" s="146"/>
      <c r="J14" s="146"/>
      <c r="K14" s="147"/>
      <c r="L14" s="145" t="s">
        <v>11</v>
      </c>
      <c r="M14" s="146"/>
      <c r="N14" s="146"/>
      <c r="O14" s="146"/>
      <c r="P14" s="146"/>
      <c r="Q14" s="147"/>
      <c r="R14" t="s">
        <v>46</v>
      </c>
    </row>
    <row r="15" spans="6:18" x14ac:dyDescent="0.25">
      <c r="F15" s="142"/>
      <c r="G15" s="144"/>
      <c r="H15" s="19" t="s">
        <v>12</v>
      </c>
      <c r="I15" s="20" t="s">
        <v>13</v>
      </c>
      <c r="J15" s="21" t="s">
        <v>14</v>
      </c>
      <c r="K15" s="21" t="s">
        <v>15</v>
      </c>
      <c r="L15" s="19" t="s">
        <v>12</v>
      </c>
      <c r="M15" s="20" t="s">
        <v>13</v>
      </c>
      <c r="N15" s="20" t="s">
        <v>16</v>
      </c>
      <c r="O15" s="20" t="s">
        <v>17</v>
      </c>
      <c r="P15" s="22" t="s">
        <v>14</v>
      </c>
      <c r="Q15" s="21" t="s">
        <v>26</v>
      </c>
    </row>
    <row r="16" spans="6:18" ht="15.75" customHeight="1" x14ac:dyDescent="0.25">
      <c r="F16" s="38" t="s">
        <v>18</v>
      </c>
      <c r="G16" s="39">
        <v>2</v>
      </c>
      <c r="H16" s="40">
        <v>3</v>
      </c>
      <c r="I16" s="40">
        <v>4</v>
      </c>
      <c r="J16" s="39">
        <v>5</v>
      </c>
      <c r="K16" s="39">
        <v>6</v>
      </c>
      <c r="L16" s="40">
        <v>7</v>
      </c>
      <c r="M16" s="40">
        <v>8</v>
      </c>
      <c r="N16" s="40">
        <v>9</v>
      </c>
      <c r="O16" s="40">
        <v>10</v>
      </c>
      <c r="P16" s="40">
        <v>9</v>
      </c>
      <c r="Q16" s="39">
        <v>10</v>
      </c>
    </row>
    <row r="17" spans="6:18" ht="15.75" customHeight="1" x14ac:dyDescent="0.25">
      <c r="F17" s="37" t="s">
        <v>27</v>
      </c>
      <c r="G17" s="37"/>
      <c r="H17" s="121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6:18" ht="20.100000000000001" customHeight="1" x14ac:dyDescent="0.25">
      <c r="F18" s="115" t="s">
        <v>18</v>
      </c>
      <c r="G18" s="85" t="s">
        <v>108</v>
      </c>
      <c r="H18" s="47" t="s">
        <v>37</v>
      </c>
      <c r="I18" s="49">
        <v>530</v>
      </c>
      <c r="J18" s="54">
        <v>150</v>
      </c>
      <c r="K18" s="58">
        <f>J18*I18</f>
        <v>79500</v>
      </c>
      <c r="L18" s="45"/>
      <c r="M18" s="46"/>
      <c r="N18" s="47"/>
      <c r="O18" s="48"/>
      <c r="P18" s="49"/>
      <c r="Q18" s="44"/>
    </row>
    <row r="19" spans="6:18" ht="20.100000000000001" customHeight="1" x14ac:dyDescent="0.25">
      <c r="F19" s="115"/>
      <c r="G19" s="43" t="s">
        <v>97</v>
      </c>
      <c r="H19" s="47"/>
      <c r="I19" s="54"/>
      <c r="J19" s="54"/>
      <c r="K19" s="58"/>
      <c r="L19" s="63" t="s">
        <v>40</v>
      </c>
      <c r="M19" s="71">
        <f>I18*0.15</f>
        <v>79.5</v>
      </c>
      <c r="N19" s="98">
        <v>1</v>
      </c>
      <c r="O19" s="99">
        <v>1.05</v>
      </c>
      <c r="P19" s="56">
        <v>3380</v>
      </c>
      <c r="Q19" s="59">
        <f>P19*M19</f>
        <v>268710</v>
      </c>
    </row>
    <row r="20" spans="6:18" ht="20.100000000000001" customHeight="1" x14ac:dyDescent="0.25">
      <c r="F20" s="115"/>
      <c r="G20" s="43" t="s">
        <v>98</v>
      </c>
      <c r="H20" s="47"/>
      <c r="I20" s="54"/>
      <c r="J20" s="54"/>
      <c r="K20" s="58"/>
      <c r="L20" s="63" t="s">
        <v>68</v>
      </c>
      <c r="M20" s="71">
        <f>ROUNDUP(I18*O20/N20,2)</f>
        <v>127.2</v>
      </c>
      <c r="N20" s="98">
        <v>25</v>
      </c>
      <c r="O20" s="99">
        <v>6</v>
      </c>
      <c r="P20" s="56">
        <v>405</v>
      </c>
      <c r="Q20" s="59">
        <f>P20*M20</f>
        <v>51516</v>
      </c>
    </row>
    <row r="21" spans="6:18" ht="20.100000000000001" customHeight="1" x14ac:dyDescent="0.25">
      <c r="F21" s="115"/>
      <c r="G21" s="43" t="s">
        <v>91</v>
      </c>
      <c r="H21" s="47"/>
      <c r="I21" s="54"/>
      <c r="J21" s="54"/>
      <c r="K21" s="58"/>
      <c r="L21" s="63" t="s">
        <v>90</v>
      </c>
      <c r="M21" s="71">
        <f>ROUNDUP(I18*O21/N21,2)</f>
        <v>4414.8999999999996</v>
      </c>
      <c r="N21" s="98">
        <v>1</v>
      </c>
      <c r="O21" s="99">
        <v>8.33</v>
      </c>
      <c r="P21" s="56">
        <v>9.4499999999999993</v>
      </c>
      <c r="Q21" s="59">
        <f>P21*M21</f>
        <v>41720.804999999993</v>
      </c>
    </row>
    <row r="22" spans="6:18" ht="20.100000000000001" customHeight="1" x14ac:dyDescent="0.25">
      <c r="F22" s="115" t="s">
        <v>33</v>
      </c>
      <c r="G22" s="85" t="s">
        <v>96</v>
      </c>
      <c r="H22" s="47" t="s">
        <v>37</v>
      </c>
      <c r="I22" s="49">
        <v>530</v>
      </c>
      <c r="J22" s="54">
        <v>150</v>
      </c>
      <c r="K22" s="58">
        <f>J22*I22</f>
        <v>79500</v>
      </c>
      <c r="L22" s="45"/>
      <c r="M22" s="46"/>
      <c r="N22" s="47"/>
      <c r="O22" s="48"/>
      <c r="P22" s="49"/>
      <c r="Q22" s="59"/>
    </row>
    <row r="23" spans="6:18" ht="20.100000000000001" customHeight="1" x14ac:dyDescent="0.25">
      <c r="F23" s="115"/>
      <c r="G23" s="60" t="s">
        <v>49</v>
      </c>
      <c r="H23" s="61"/>
      <c r="I23" s="62"/>
      <c r="J23" s="62"/>
      <c r="K23" s="58"/>
      <c r="L23" s="63" t="s">
        <v>37</v>
      </c>
      <c r="M23" s="71">
        <f>ROUNDUP(I22*O23/N23,2)</f>
        <v>583</v>
      </c>
      <c r="N23" s="98">
        <v>1</v>
      </c>
      <c r="O23" s="99">
        <v>1.1000000000000001</v>
      </c>
      <c r="P23" s="56">
        <v>23</v>
      </c>
      <c r="Q23" s="59">
        <f>P23*M23</f>
        <v>13409</v>
      </c>
    </row>
    <row r="24" spans="6:18" ht="20.100000000000001" customHeight="1" x14ac:dyDescent="0.25">
      <c r="F24" s="115"/>
      <c r="G24" s="43" t="s">
        <v>99</v>
      </c>
      <c r="H24" s="47"/>
      <c r="I24" s="54"/>
      <c r="J24" s="54"/>
      <c r="K24" s="58"/>
      <c r="L24" s="63" t="s">
        <v>68</v>
      </c>
      <c r="M24" s="71">
        <f>ROUNDUP(I22*O24/N24,2)</f>
        <v>127.2</v>
      </c>
      <c r="N24" s="98">
        <v>25</v>
      </c>
      <c r="O24" s="99">
        <v>6</v>
      </c>
      <c r="P24" s="56">
        <v>435</v>
      </c>
      <c r="Q24" s="59">
        <f>P24*M24</f>
        <v>55332</v>
      </c>
    </row>
    <row r="25" spans="6:18" ht="22.5" customHeight="1" x14ac:dyDescent="0.25">
      <c r="F25" s="115" t="s">
        <v>34</v>
      </c>
      <c r="G25" s="85" t="s">
        <v>50</v>
      </c>
      <c r="H25" s="64" t="s">
        <v>37</v>
      </c>
      <c r="I25" s="49">
        <v>1</v>
      </c>
      <c r="J25" s="65">
        <v>200</v>
      </c>
      <c r="K25" s="58">
        <f>J25*I25</f>
        <v>200</v>
      </c>
      <c r="L25" s="67"/>
      <c r="M25" s="46"/>
      <c r="N25" s="41"/>
      <c r="O25" s="42"/>
      <c r="P25" s="68"/>
      <c r="Q25" s="59"/>
    </row>
    <row r="26" spans="6:18" ht="20.100000000000001" customHeight="1" x14ac:dyDescent="0.25">
      <c r="F26" s="115"/>
      <c r="G26" s="43" t="s">
        <v>82</v>
      </c>
      <c r="H26" s="64"/>
      <c r="I26" s="65"/>
      <c r="J26" s="65"/>
      <c r="K26" s="66"/>
      <c r="L26" s="63" t="s">
        <v>68</v>
      </c>
      <c r="M26" s="71">
        <f>ROUNDUP(I25*O26/N26,2)</f>
        <v>0</v>
      </c>
      <c r="N26" s="98">
        <v>25</v>
      </c>
      <c r="O26" s="99">
        <v>0</v>
      </c>
      <c r="P26" s="56">
        <v>560.13</v>
      </c>
      <c r="Q26" s="59">
        <f>P26*M26</f>
        <v>0</v>
      </c>
    </row>
    <row r="27" spans="6:18" ht="20.100000000000001" customHeight="1" x14ac:dyDescent="0.25">
      <c r="F27" s="115"/>
      <c r="G27" s="43" t="s">
        <v>100</v>
      </c>
      <c r="H27" s="64"/>
      <c r="I27" s="65"/>
      <c r="J27" s="65"/>
      <c r="K27" s="66"/>
      <c r="L27" s="63" t="s">
        <v>92</v>
      </c>
      <c r="M27" s="71">
        <v>70</v>
      </c>
      <c r="N27" s="98"/>
      <c r="O27" s="99"/>
      <c r="P27" s="56">
        <v>147</v>
      </c>
      <c r="Q27" s="59">
        <f>P27*M27</f>
        <v>10290</v>
      </c>
    </row>
    <row r="28" spans="6:18" ht="20.100000000000001" customHeight="1" x14ac:dyDescent="0.25">
      <c r="F28" s="115"/>
      <c r="G28" s="43" t="s">
        <v>101</v>
      </c>
      <c r="H28" s="64"/>
      <c r="I28" s="65"/>
      <c r="J28" s="65"/>
      <c r="K28" s="66"/>
      <c r="L28" s="63" t="s">
        <v>92</v>
      </c>
      <c r="M28" s="71">
        <v>110</v>
      </c>
      <c r="N28" s="98"/>
      <c r="O28" s="99"/>
      <c r="P28" s="56">
        <v>48.5</v>
      </c>
      <c r="Q28" s="59">
        <f>P28*M28</f>
        <v>5335</v>
      </c>
    </row>
    <row r="29" spans="6:18" ht="20.100000000000001" customHeight="1" x14ac:dyDescent="0.25">
      <c r="F29" s="115"/>
      <c r="G29" s="43" t="s">
        <v>102</v>
      </c>
      <c r="H29" s="64"/>
      <c r="I29" s="65"/>
      <c r="J29" s="65"/>
      <c r="K29" s="66"/>
      <c r="L29" s="63" t="s">
        <v>92</v>
      </c>
      <c r="M29" s="71">
        <v>220</v>
      </c>
      <c r="N29" s="98"/>
      <c r="O29" s="99"/>
      <c r="P29" s="56">
        <v>20</v>
      </c>
      <c r="Q29" s="59">
        <f>P29*M29</f>
        <v>4400</v>
      </c>
    </row>
    <row r="30" spans="6:18" ht="20.100000000000001" customHeight="1" x14ac:dyDescent="0.25">
      <c r="F30" s="115"/>
      <c r="G30" s="43" t="s">
        <v>103</v>
      </c>
      <c r="H30" s="64"/>
      <c r="I30" s="65"/>
      <c r="J30" s="65"/>
      <c r="K30" s="66"/>
      <c r="L30" s="63" t="s">
        <v>92</v>
      </c>
      <c r="M30" s="71">
        <v>50</v>
      </c>
      <c r="N30" s="98"/>
      <c r="O30" s="99"/>
      <c r="P30" s="56">
        <v>230</v>
      </c>
      <c r="Q30" s="59">
        <f>P30*M30</f>
        <v>11500</v>
      </c>
    </row>
    <row r="31" spans="6:18" ht="20.100000000000001" customHeight="1" x14ac:dyDescent="0.25">
      <c r="F31" s="115" t="s">
        <v>35</v>
      </c>
      <c r="G31" s="85" t="s">
        <v>51</v>
      </c>
      <c r="H31" s="64" t="s">
        <v>37</v>
      </c>
      <c r="I31" s="49">
        <v>0</v>
      </c>
      <c r="J31" s="65">
        <v>80</v>
      </c>
      <c r="K31" s="58">
        <f>J31*I31</f>
        <v>0</v>
      </c>
      <c r="L31" s="67"/>
      <c r="M31" s="46"/>
      <c r="N31" s="41"/>
      <c r="O31" s="42"/>
      <c r="P31" s="68"/>
      <c r="Q31" s="59"/>
      <c r="R31" s="55"/>
    </row>
    <row r="32" spans="6:18" ht="33.75" customHeight="1" x14ac:dyDescent="0.25">
      <c r="F32" s="115"/>
      <c r="G32" s="43" t="s">
        <v>67</v>
      </c>
      <c r="H32" s="64"/>
      <c r="I32" s="65"/>
      <c r="J32" s="65"/>
      <c r="K32" s="66"/>
      <c r="L32" s="63" t="s">
        <v>38</v>
      </c>
      <c r="M32" s="71">
        <v>0</v>
      </c>
      <c r="N32" s="98">
        <v>30</v>
      </c>
      <c r="O32" s="99">
        <v>0.1</v>
      </c>
      <c r="P32" s="56">
        <v>1230</v>
      </c>
      <c r="Q32" s="59">
        <f>P32*M32</f>
        <v>0</v>
      </c>
    </row>
    <row r="33" spans="6:17" ht="20.100000000000001" customHeight="1" x14ac:dyDescent="0.25">
      <c r="F33" s="115"/>
      <c r="G33" s="57" t="s">
        <v>74</v>
      </c>
      <c r="H33" s="51"/>
      <c r="I33" s="51"/>
      <c r="J33" s="52"/>
      <c r="K33" s="44"/>
      <c r="L33" s="63" t="s">
        <v>38</v>
      </c>
      <c r="M33" s="71">
        <f>ROUNDUP(I31*O33/N33,0)</f>
        <v>0</v>
      </c>
      <c r="N33" s="98">
        <v>45</v>
      </c>
      <c r="O33" s="99">
        <v>0.4</v>
      </c>
      <c r="P33" s="56">
        <v>7132.5</v>
      </c>
      <c r="Q33" s="59">
        <f>P33*M33</f>
        <v>0</v>
      </c>
    </row>
    <row r="34" spans="6:17" ht="31.5" customHeight="1" x14ac:dyDescent="0.25">
      <c r="F34" s="115" t="s">
        <v>36</v>
      </c>
      <c r="G34" s="87" t="s">
        <v>104</v>
      </c>
      <c r="H34" s="51" t="s">
        <v>37</v>
      </c>
      <c r="I34" s="51">
        <v>0</v>
      </c>
      <c r="J34" s="52">
        <v>250</v>
      </c>
      <c r="K34" s="58">
        <f>J34*I34</f>
        <v>0</v>
      </c>
      <c r="L34" s="51"/>
      <c r="M34" s="51"/>
      <c r="N34" s="41"/>
      <c r="O34" s="42"/>
      <c r="P34" s="51"/>
      <c r="Q34" s="59"/>
    </row>
    <row r="35" spans="6:17" ht="30" customHeight="1" x14ac:dyDescent="0.25">
      <c r="F35" s="115"/>
      <c r="G35" s="43" t="s">
        <v>67</v>
      </c>
      <c r="H35" s="64"/>
      <c r="I35" s="65"/>
      <c r="J35" s="65"/>
      <c r="K35" s="66"/>
      <c r="L35" s="63" t="s">
        <v>38</v>
      </c>
      <c r="M35" s="71">
        <f>ROUNDUP(I34*O35/N35,0)</f>
        <v>0</v>
      </c>
      <c r="N35" s="98">
        <v>30</v>
      </c>
      <c r="O35" s="99">
        <v>0.2</v>
      </c>
      <c r="P35" s="56">
        <v>1230</v>
      </c>
      <c r="Q35" s="59">
        <f>P35*M35</f>
        <v>0</v>
      </c>
    </row>
    <row r="36" spans="6:17" ht="30.75" customHeight="1" x14ac:dyDescent="0.25">
      <c r="F36" s="115"/>
      <c r="G36" s="50" t="s">
        <v>88</v>
      </c>
      <c r="H36" s="51"/>
      <c r="I36" s="51"/>
      <c r="J36" s="51"/>
      <c r="K36" s="69"/>
      <c r="L36" s="63" t="s">
        <v>75</v>
      </c>
      <c r="M36" s="71">
        <f>ROUNDUP(I34/N36*O36,0)</f>
        <v>0</v>
      </c>
      <c r="N36" s="98">
        <v>20</v>
      </c>
      <c r="O36" s="99">
        <v>2.8</v>
      </c>
      <c r="P36" s="56">
        <v>501</v>
      </c>
      <c r="Q36" s="59">
        <f>M36*P36</f>
        <v>0</v>
      </c>
    </row>
    <row r="37" spans="6:17" ht="33.75" customHeight="1" x14ac:dyDescent="0.25">
      <c r="F37" s="115"/>
      <c r="G37" s="43" t="s">
        <v>67</v>
      </c>
      <c r="H37" s="64"/>
      <c r="I37" s="65"/>
      <c r="J37" s="65"/>
      <c r="K37" s="66"/>
      <c r="L37" s="63" t="s">
        <v>38</v>
      </c>
      <c r="M37" s="71">
        <f>ROUNDUP(I34*O37/N37,0)</f>
        <v>0</v>
      </c>
      <c r="N37" s="98">
        <v>30</v>
      </c>
      <c r="O37" s="99">
        <v>0.1</v>
      </c>
      <c r="P37" s="56">
        <v>1230</v>
      </c>
      <c r="Q37" s="59">
        <f>P37*M37</f>
        <v>0</v>
      </c>
    </row>
    <row r="38" spans="6:17" ht="20.100000000000001" customHeight="1" x14ac:dyDescent="0.25">
      <c r="F38" s="115"/>
      <c r="G38" s="57" t="s">
        <v>74</v>
      </c>
      <c r="H38" s="51"/>
      <c r="I38" s="51"/>
      <c r="J38" s="52"/>
      <c r="K38" s="44"/>
      <c r="L38" s="63" t="s">
        <v>38</v>
      </c>
      <c r="M38" s="71">
        <f>ROUNDUP(I34*O38/N38,0)</f>
        <v>0</v>
      </c>
      <c r="N38" s="98">
        <v>45</v>
      </c>
      <c r="O38" s="99">
        <v>0.4</v>
      </c>
      <c r="P38" s="56">
        <v>7132.5</v>
      </c>
      <c r="Q38" s="59">
        <f>P38*M38</f>
        <v>0</v>
      </c>
    </row>
    <row r="39" spans="6:17" ht="20.100000000000001" customHeight="1" x14ac:dyDescent="0.25">
      <c r="F39" s="115" t="s">
        <v>39</v>
      </c>
      <c r="G39" s="86" t="s">
        <v>60</v>
      </c>
      <c r="H39" s="51" t="s">
        <v>37</v>
      </c>
      <c r="I39" s="51">
        <v>0</v>
      </c>
      <c r="J39" s="52">
        <v>250</v>
      </c>
      <c r="K39" s="58">
        <f>J39*I39</f>
        <v>0</v>
      </c>
      <c r="L39" s="51"/>
      <c r="M39" s="51"/>
      <c r="N39" s="41"/>
      <c r="O39" s="42"/>
      <c r="P39" s="51"/>
      <c r="Q39" s="59"/>
    </row>
    <row r="40" spans="6:17" ht="30" customHeight="1" x14ac:dyDescent="0.25">
      <c r="F40" s="115"/>
      <c r="G40" s="43" t="s">
        <v>67</v>
      </c>
      <c r="H40" s="64"/>
      <c r="I40" s="65"/>
      <c r="J40" s="65"/>
      <c r="K40" s="66"/>
      <c r="L40" s="63" t="s">
        <v>38</v>
      </c>
      <c r="M40" s="71">
        <f>ROUNDUP(I39*O40/N40,0)</f>
        <v>0</v>
      </c>
      <c r="N40" s="98">
        <v>30</v>
      </c>
      <c r="O40" s="99">
        <v>0.2</v>
      </c>
      <c r="P40" s="56">
        <v>1230</v>
      </c>
      <c r="Q40" s="59">
        <f>P40*M40</f>
        <v>0</v>
      </c>
    </row>
    <row r="41" spans="6:17" ht="32.25" customHeight="1" x14ac:dyDescent="0.25">
      <c r="F41" s="115"/>
      <c r="G41" s="50" t="s">
        <v>88</v>
      </c>
      <c r="H41" s="51"/>
      <c r="I41" s="51"/>
      <c r="J41" s="51"/>
      <c r="K41" s="69"/>
      <c r="L41" s="63" t="s">
        <v>75</v>
      </c>
      <c r="M41" s="71">
        <f>ROUNDUP(I39/N41*O41,0)</f>
        <v>0</v>
      </c>
      <c r="N41" s="98">
        <v>20</v>
      </c>
      <c r="O41" s="99">
        <v>2.8</v>
      </c>
      <c r="P41" s="56">
        <v>501</v>
      </c>
      <c r="Q41" s="59">
        <f>M41*P41</f>
        <v>0</v>
      </c>
    </row>
    <row r="42" spans="6:17" ht="33" customHeight="1" x14ac:dyDescent="0.25">
      <c r="F42" s="115"/>
      <c r="G42" s="43" t="s">
        <v>67</v>
      </c>
      <c r="H42" s="64"/>
      <c r="I42" s="65"/>
      <c r="J42" s="65"/>
      <c r="K42" s="66"/>
      <c r="L42" s="63" t="s">
        <v>38</v>
      </c>
      <c r="M42" s="71">
        <f>ROUNDUP(I39*O42/N42,0)</f>
        <v>0</v>
      </c>
      <c r="N42" s="98">
        <v>30</v>
      </c>
      <c r="O42" s="99">
        <v>0.1</v>
      </c>
      <c r="P42" s="56">
        <v>1230</v>
      </c>
      <c r="Q42" s="59">
        <f>P42*M42</f>
        <v>0</v>
      </c>
    </row>
    <row r="43" spans="6:17" ht="20.100000000000001" customHeight="1" x14ac:dyDescent="0.25">
      <c r="F43" s="115"/>
      <c r="G43" s="57" t="s">
        <v>74</v>
      </c>
      <c r="H43" s="51"/>
      <c r="I43" s="51"/>
      <c r="J43" s="52"/>
      <c r="K43" s="44"/>
      <c r="L43" s="63" t="s">
        <v>38</v>
      </c>
      <c r="M43" s="71">
        <f>ROUNDUP(I39*O43/N43,0)</f>
        <v>0</v>
      </c>
      <c r="N43" s="98">
        <v>45</v>
      </c>
      <c r="O43" s="99">
        <v>0.4</v>
      </c>
      <c r="P43" s="56">
        <v>7132.5</v>
      </c>
      <c r="Q43" s="59">
        <f>P43*M43</f>
        <v>0</v>
      </c>
    </row>
    <row r="44" spans="6:17" ht="20.100000000000001" customHeight="1" x14ac:dyDescent="0.25">
      <c r="F44" s="105" t="s">
        <v>77</v>
      </c>
      <c r="G44" s="106" t="s">
        <v>94</v>
      </c>
      <c r="H44" s="107" t="s">
        <v>37</v>
      </c>
      <c r="I44" s="107">
        <v>0</v>
      </c>
      <c r="J44" s="108">
        <v>600</v>
      </c>
      <c r="K44" s="109">
        <f>J44*I44</f>
        <v>0</v>
      </c>
      <c r="L44" s="107"/>
      <c r="M44" s="107"/>
      <c r="N44" s="110"/>
      <c r="O44" s="111"/>
      <c r="P44" s="107"/>
      <c r="Q44" s="109"/>
    </row>
    <row r="45" spans="6:17" ht="20.100000000000001" customHeight="1" x14ac:dyDescent="0.25">
      <c r="F45" s="105"/>
      <c r="G45" s="106" t="s">
        <v>95</v>
      </c>
      <c r="H45" s="107"/>
      <c r="I45" s="107"/>
      <c r="J45" s="108"/>
      <c r="K45" s="109"/>
      <c r="L45" s="107" t="s">
        <v>37</v>
      </c>
      <c r="M45" s="107">
        <f>I44</f>
        <v>0</v>
      </c>
      <c r="N45" s="110"/>
      <c r="O45" s="111"/>
      <c r="P45" s="107">
        <v>1200</v>
      </c>
      <c r="Q45" s="59">
        <f>P45*M45</f>
        <v>0</v>
      </c>
    </row>
    <row r="46" spans="6:17" ht="20.100000000000001" customHeight="1" x14ac:dyDescent="0.25">
      <c r="F46" s="105"/>
      <c r="G46" s="114" t="s">
        <v>93</v>
      </c>
      <c r="H46" s="107"/>
      <c r="I46" s="107"/>
      <c r="J46" s="108"/>
      <c r="K46" s="112"/>
      <c r="L46" s="107" t="s">
        <v>40</v>
      </c>
      <c r="M46" s="113">
        <v>0</v>
      </c>
      <c r="N46" s="110">
        <v>1</v>
      </c>
      <c r="O46" s="111">
        <v>0</v>
      </c>
      <c r="P46" s="107">
        <v>2900</v>
      </c>
      <c r="Q46" s="109">
        <f>P46*M46</f>
        <v>0</v>
      </c>
    </row>
    <row r="47" spans="6:17" ht="20.100000000000001" customHeight="1" x14ac:dyDescent="0.25">
      <c r="F47" s="115" t="s">
        <v>78</v>
      </c>
      <c r="G47" s="86" t="s">
        <v>61</v>
      </c>
      <c r="H47" s="51" t="s">
        <v>37</v>
      </c>
      <c r="I47" s="94">
        <v>0</v>
      </c>
      <c r="J47" s="52">
        <v>280</v>
      </c>
      <c r="K47" s="58">
        <f>J47*I47</f>
        <v>0</v>
      </c>
      <c r="L47" s="51"/>
      <c r="M47" s="51"/>
      <c r="N47" s="41"/>
      <c r="O47" s="42"/>
      <c r="P47" s="51"/>
      <c r="Q47" s="59"/>
    </row>
    <row r="48" spans="6:17" ht="33" customHeight="1" x14ac:dyDescent="0.25">
      <c r="F48" s="115"/>
      <c r="G48" s="43" t="s">
        <v>67</v>
      </c>
      <c r="H48" s="64"/>
      <c r="I48" s="65"/>
      <c r="J48" s="65"/>
      <c r="K48" s="66"/>
      <c r="L48" s="63" t="s">
        <v>38</v>
      </c>
      <c r="M48" s="71">
        <f>ROUNDUP(I47*O48/N48,0)</f>
        <v>0</v>
      </c>
      <c r="N48" s="98">
        <v>30</v>
      </c>
      <c r="O48" s="99">
        <v>0.2</v>
      </c>
      <c r="P48" s="56">
        <v>1230</v>
      </c>
      <c r="Q48" s="59">
        <f>P48*M48</f>
        <v>0</v>
      </c>
    </row>
    <row r="49" spans="6:17" ht="31.5" customHeight="1" x14ac:dyDescent="0.25">
      <c r="F49" s="115"/>
      <c r="G49" s="50" t="s">
        <v>88</v>
      </c>
      <c r="H49" s="51"/>
      <c r="I49" s="51"/>
      <c r="J49" s="51"/>
      <c r="K49" s="69"/>
      <c r="L49" s="63" t="s">
        <v>75</v>
      </c>
      <c r="M49" s="71">
        <f>ROUNDUP(I47/N49*O49,0)</f>
        <v>0</v>
      </c>
      <c r="N49" s="98">
        <v>20</v>
      </c>
      <c r="O49" s="99">
        <v>2.8</v>
      </c>
      <c r="P49" s="56">
        <v>501</v>
      </c>
      <c r="Q49" s="59">
        <f>M49*P49</f>
        <v>0</v>
      </c>
    </row>
    <row r="50" spans="6:17" ht="34.5" customHeight="1" x14ac:dyDescent="0.25">
      <c r="F50" s="115"/>
      <c r="G50" s="43" t="s">
        <v>67</v>
      </c>
      <c r="H50" s="64"/>
      <c r="I50" s="65"/>
      <c r="J50" s="65"/>
      <c r="K50" s="66"/>
      <c r="L50" s="63" t="s">
        <v>38</v>
      </c>
      <c r="M50" s="71">
        <f>ROUNDUP(I47*O50/N50,0)</f>
        <v>0</v>
      </c>
      <c r="N50" s="98">
        <v>30</v>
      </c>
      <c r="O50" s="99">
        <v>0.1</v>
      </c>
      <c r="P50" s="56">
        <v>1230</v>
      </c>
      <c r="Q50" s="59">
        <f>P50*M50</f>
        <v>0</v>
      </c>
    </row>
    <row r="51" spans="6:17" ht="20.100000000000001" customHeight="1" x14ac:dyDescent="0.25">
      <c r="F51" s="115"/>
      <c r="G51" s="57" t="s">
        <v>74</v>
      </c>
      <c r="H51" s="51"/>
      <c r="I51" s="51"/>
      <c r="J51" s="52"/>
      <c r="K51" s="44"/>
      <c r="L51" s="63" t="s">
        <v>38</v>
      </c>
      <c r="M51" s="71">
        <f>ROUNDUP(I47*O51/N51,0)</f>
        <v>0</v>
      </c>
      <c r="N51" s="98">
        <v>45</v>
      </c>
      <c r="O51" s="99">
        <v>0.4</v>
      </c>
      <c r="P51" s="56">
        <v>7132.5</v>
      </c>
      <c r="Q51" s="59">
        <f>P51*M51</f>
        <v>0</v>
      </c>
    </row>
    <row r="52" spans="6:17" ht="15.75" x14ac:dyDescent="0.25">
      <c r="F52" s="136" t="s">
        <v>24</v>
      </c>
      <c r="G52" s="136"/>
      <c r="H52" s="81"/>
      <c r="I52" s="81"/>
      <c r="J52" s="81"/>
      <c r="K52" s="33">
        <f>SUM(K18:K51)</f>
        <v>159200</v>
      </c>
      <c r="L52" s="82"/>
      <c r="M52" s="82"/>
      <c r="N52" s="82"/>
      <c r="O52" s="82"/>
      <c r="P52" s="82"/>
      <c r="Q52" s="33">
        <f>SUM(Q18:Q51)</f>
        <v>462212.80499999999</v>
      </c>
    </row>
    <row r="53" spans="6:17" ht="5.0999999999999996" customHeight="1" x14ac:dyDescent="0.25"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4" spans="6:17" x14ac:dyDescent="0.25">
      <c r="F54" s="37" t="s">
        <v>27</v>
      </c>
      <c r="G54" s="37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6:17" ht="34.5" customHeight="1" x14ac:dyDescent="0.25">
      <c r="F55" s="115" t="s">
        <v>36</v>
      </c>
      <c r="G55" s="87" t="s">
        <v>52</v>
      </c>
      <c r="H55" s="51" t="s">
        <v>37</v>
      </c>
      <c r="I55" s="51">
        <v>205</v>
      </c>
      <c r="J55" s="52">
        <v>180</v>
      </c>
      <c r="K55" s="58">
        <f>J55*I55</f>
        <v>36900</v>
      </c>
      <c r="L55" s="51"/>
      <c r="M55" s="51"/>
      <c r="N55" s="41"/>
      <c r="O55" s="42"/>
      <c r="P55" s="51"/>
      <c r="Q55" s="59"/>
    </row>
    <row r="56" spans="6:17" ht="20.100000000000001" customHeight="1" x14ac:dyDescent="0.25">
      <c r="F56" s="115"/>
      <c r="G56" s="57" t="s">
        <v>69</v>
      </c>
      <c r="H56" s="51"/>
      <c r="I56" s="51"/>
      <c r="J56" s="52"/>
      <c r="K56" s="44"/>
      <c r="L56" s="63" t="s">
        <v>40</v>
      </c>
      <c r="M56" s="71">
        <f>I55*0.15*O56</f>
        <v>32.287500000000001</v>
      </c>
      <c r="N56" s="98">
        <v>1</v>
      </c>
      <c r="O56" s="99">
        <v>1.05</v>
      </c>
      <c r="P56" s="56">
        <v>3355</v>
      </c>
      <c r="Q56" s="59">
        <f>P56*M56</f>
        <v>108324.5625</v>
      </c>
    </row>
    <row r="57" spans="6:17" ht="20.100000000000001" customHeight="1" x14ac:dyDescent="0.25">
      <c r="F57" s="115"/>
      <c r="G57" s="43" t="s">
        <v>91</v>
      </c>
      <c r="H57" s="47"/>
      <c r="I57" s="54"/>
      <c r="J57" s="54"/>
      <c r="K57" s="58"/>
      <c r="L57" s="63" t="s">
        <v>90</v>
      </c>
      <c r="M57" s="71">
        <f>ROUNDUP(I55*O57/N57,0)</f>
        <v>1708</v>
      </c>
      <c r="N57" s="98">
        <v>1</v>
      </c>
      <c r="O57" s="99">
        <v>8.33</v>
      </c>
      <c r="P57" s="56">
        <v>9.4499999999999993</v>
      </c>
      <c r="Q57" s="59">
        <f>P57*M57</f>
        <v>16140.599999999999</v>
      </c>
    </row>
    <row r="58" spans="6:17" ht="20.100000000000001" customHeight="1" x14ac:dyDescent="0.25">
      <c r="F58" s="115" t="s">
        <v>39</v>
      </c>
      <c r="G58" s="86" t="s">
        <v>53</v>
      </c>
      <c r="H58" s="51" t="s">
        <v>37</v>
      </c>
      <c r="I58" s="51">
        <v>205</v>
      </c>
      <c r="J58" s="52">
        <v>200</v>
      </c>
      <c r="K58" s="58">
        <f>J58*I58</f>
        <v>41000</v>
      </c>
      <c r="L58" s="51"/>
      <c r="M58" s="51"/>
      <c r="N58" s="41"/>
      <c r="O58" s="42"/>
      <c r="P58" s="51"/>
      <c r="Q58" s="59"/>
    </row>
    <row r="59" spans="6:17" ht="20.100000000000001" customHeight="1" x14ac:dyDescent="0.25">
      <c r="F59" s="115"/>
      <c r="G59" s="57" t="s">
        <v>54</v>
      </c>
      <c r="H59" s="51"/>
      <c r="I59" s="51"/>
      <c r="J59" s="52"/>
      <c r="K59" s="44"/>
      <c r="L59" s="63" t="s">
        <v>37</v>
      </c>
      <c r="M59" s="71">
        <f>ROUNDUP(I58*O59/N59,0)</f>
        <v>226</v>
      </c>
      <c r="N59" s="98">
        <v>1</v>
      </c>
      <c r="O59" s="99">
        <v>1.1000000000000001</v>
      </c>
      <c r="P59" s="56">
        <v>910</v>
      </c>
      <c r="Q59" s="59">
        <f>P59*M59</f>
        <v>205660</v>
      </c>
    </row>
    <row r="60" spans="6:17" ht="20.100000000000001" customHeight="1" x14ac:dyDescent="0.25">
      <c r="F60" s="115" t="s">
        <v>77</v>
      </c>
      <c r="G60" s="86" t="s">
        <v>55</v>
      </c>
      <c r="H60" s="51" t="s">
        <v>37</v>
      </c>
      <c r="I60" s="49">
        <v>1332.5</v>
      </c>
      <c r="J60" s="52">
        <v>10</v>
      </c>
      <c r="K60" s="58">
        <f>J60*I60</f>
        <v>13325</v>
      </c>
      <c r="L60" s="51"/>
      <c r="M60" s="51"/>
      <c r="N60" s="41"/>
      <c r="O60" s="42"/>
      <c r="P60" s="51"/>
      <c r="Q60" s="59"/>
    </row>
    <row r="61" spans="6:17" ht="20.100000000000001" customHeight="1" x14ac:dyDescent="0.25">
      <c r="F61" s="115"/>
      <c r="G61" s="57" t="s">
        <v>83</v>
      </c>
      <c r="H61" s="51"/>
      <c r="I61" s="51"/>
      <c r="J61" s="52"/>
      <c r="K61" s="44"/>
      <c r="L61" s="63" t="s">
        <v>84</v>
      </c>
      <c r="M61" s="100">
        <f>ROUNDUP(I60*O61/N61,0)</f>
        <v>20</v>
      </c>
      <c r="N61" s="98">
        <v>75</v>
      </c>
      <c r="O61" s="99">
        <v>1.1000000000000001</v>
      </c>
      <c r="P61" s="56">
        <v>4500</v>
      </c>
      <c r="Q61" s="59">
        <f>P61*M61</f>
        <v>90000</v>
      </c>
    </row>
    <row r="62" spans="6:17" ht="20.100000000000001" customHeight="1" x14ac:dyDescent="0.25">
      <c r="F62" s="115"/>
      <c r="G62" s="43" t="s">
        <v>107</v>
      </c>
      <c r="H62" s="47"/>
      <c r="I62" s="54"/>
      <c r="J62" s="54"/>
      <c r="K62" s="58"/>
      <c r="L62" s="63" t="s">
        <v>90</v>
      </c>
      <c r="M62" s="71">
        <f>ROUNDUP(I60*O62/N62,0)</f>
        <v>3998</v>
      </c>
      <c r="N62" s="98">
        <v>1</v>
      </c>
      <c r="O62" s="99">
        <v>3</v>
      </c>
      <c r="P62" s="56">
        <v>3.45</v>
      </c>
      <c r="Q62" s="59">
        <f>P62*M62</f>
        <v>13793.1</v>
      </c>
    </row>
    <row r="63" spans="6:17" ht="20.100000000000001" customHeight="1" x14ac:dyDescent="0.25">
      <c r="F63" s="115" t="s">
        <v>78</v>
      </c>
      <c r="G63" s="86" t="s">
        <v>56</v>
      </c>
      <c r="H63" s="51" t="s">
        <v>37</v>
      </c>
      <c r="I63" s="49">
        <v>1332.5</v>
      </c>
      <c r="J63" s="52">
        <v>150</v>
      </c>
      <c r="K63" s="58">
        <f>J63*I63</f>
        <v>199875</v>
      </c>
      <c r="L63" s="51"/>
      <c r="M63" s="51"/>
      <c r="N63" s="41"/>
      <c r="O63" s="42"/>
      <c r="P63" s="51"/>
      <c r="Q63" s="59"/>
    </row>
    <row r="64" spans="6:17" ht="20.100000000000001" customHeight="1" x14ac:dyDescent="0.25">
      <c r="F64" s="115"/>
      <c r="G64" s="57" t="s">
        <v>105</v>
      </c>
      <c r="H64" s="51"/>
      <c r="I64" s="51"/>
      <c r="J64" s="52"/>
      <c r="K64" s="44"/>
      <c r="L64" s="63" t="s">
        <v>40</v>
      </c>
      <c r="M64" s="71">
        <f>I63*0.11*O64</f>
        <v>153.90375</v>
      </c>
      <c r="N64" s="98">
        <v>1</v>
      </c>
      <c r="O64" s="99">
        <v>1.05</v>
      </c>
      <c r="P64" s="56">
        <v>1127</v>
      </c>
      <c r="Q64" s="59">
        <f>P64*M64</f>
        <v>173449.52625</v>
      </c>
    </row>
    <row r="65" spans="6:17" ht="20.100000000000001" customHeight="1" x14ac:dyDescent="0.25">
      <c r="F65" s="115"/>
      <c r="G65" s="57" t="s">
        <v>106</v>
      </c>
      <c r="H65" s="51"/>
      <c r="I65" s="51"/>
      <c r="J65" s="52"/>
      <c r="K65" s="44"/>
      <c r="L65" s="63" t="s">
        <v>40</v>
      </c>
      <c r="M65" s="71">
        <f>I63*0.04*O65</f>
        <v>55.965000000000003</v>
      </c>
      <c r="N65" s="98">
        <v>1</v>
      </c>
      <c r="O65" s="99">
        <v>1.05</v>
      </c>
      <c r="P65" s="56">
        <v>1127</v>
      </c>
      <c r="Q65" s="59">
        <f>P65*M65</f>
        <v>63072.555</v>
      </c>
    </row>
    <row r="66" spans="6:17" ht="20.100000000000001" customHeight="1" x14ac:dyDescent="0.25">
      <c r="F66" s="115" t="s">
        <v>79</v>
      </c>
      <c r="G66" s="86" t="s">
        <v>57</v>
      </c>
      <c r="H66" s="51" t="s">
        <v>37</v>
      </c>
      <c r="I66" s="49">
        <v>1332.5</v>
      </c>
      <c r="J66" s="52">
        <v>10</v>
      </c>
      <c r="K66" s="58">
        <f>J66*I66</f>
        <v>13325</v>
      </c>
      <c r="L66" s="51"/>
      <c r="M66" s="100"/>
      <c r="N66" s="41"/>
      <c r="O66" s="42"/>
      <c r="P66" s="51"/>
      <c r="Q66" s="59"/>
    </row>
    <row r="67" spans="6:17" ht="20.100000000000001" customHeight="1" x14ac:dyDescent="0.25">
      <c r="F67" s="115"/>
      <c r="G67" s="57" t="s">
        <v>85</v>
      </c>
      <c r="H67" s="51"/>
      <c r="I67" s="51"/>
      <c r="J67" s="52"/>
      <c r="K67" s="44"/>
      <c r="L67" s="63" t="s">
        <v>84</v>
      </c>
      <c r="M67" s="100">
        <f>ROUNDUP(I66*O67/N67,0)</f>
        <v>20</v>
      </c>
      <c r="N67" s="98">
        <v>75</v>
      </c>
      <c r="O67" s="99">
        <v>1.1000000000000001</v>
      </c>
      <c r="P67" s="56">
        <v>3750</v>
      </c>
      <c r="Q67" s="59">
        <f>P67*M67</f>
        <v>75000</v>
      </c>
    </row>
    <row r="68" spans="6:17" ht="20.100000000000001" customHeight="1" x14ac:dyDescent="0.25">
      <c r="F68" s="115"/>
      <c r="G68" s="43" t="s">
        <v>91</v>
      </c>
      <c r="H68" s="47"/>
      <c r="I68" s="54"/>
      <c r="J68" s="54"/>
      <c r="K68" s="58"/>
      <c r="L68" s="63" t="s">
        <v>90</v>
      </c>
      <c r="M68" s="71">
        <f>ROUNDUP(I66*O68/N68,0)</f>
        <v>3998</v>
      </c>
      <c r="N68" s="98">
        <v>1</v>
      </c>
      <c r="O68" s="99">
        <v>3</v>
      </c>
      <c r="P68" s="56">
        <v>9.4499999999999993</v>
      </c>
      <c r="Q68" s="59">
        <f>P68*M68</f>
        <v>37781.1</v>
      </c>
    </row>
    <row r="69" spans="6:17" ht="23.25" customHeight="1" x14ac:dyDescent="0.25">
      <c r="F69" s="115" t="s">
        <v>80</v>
      </c>
      <c r="G69" s="86" t="s">
        <v>58</v>
      </c>
      <c r="H69" s="51" t="s">
        <v>37</v>
      </c>
      <c r="I69" s="49">
        <v>1332.5</v>
      </c>
      <c r="J69" s="52">
        <v>1050</v>
      </c>
      <c r="K69" s="58">
        <f>J69*I69</f>
        <v>1399125</v>
      </c>
      <c r="L69" s="51"/>
      <c r="M69" s="51"/>
      <c r="N69" s="41"/>
      <c r="O69" s="42"/>
      <c r="P69" s="51"/>
      <c r="Q69" s="59"/>
    </row>
    <row r="70" spans="6:17" ht="20.100000000000001" customHeight="1" x14ac:dyDescent="0.25">
      <c r="F70" s="115"/>
      <c r="G70" s="57" t="s">
        <v>70</v>
      </c>
      <c r="H70" s="51"/>
      <c r="I70" s="51"/>
      <c r="J70" s="52"/>
      <c r="K70" s="44"/>
      <c r="L70" s="63" t="s">
        <v>37</v>
      </c>
      <c r="M70" s="100">
        <f>ROUNDUP(I69*O70/N70,0)</f>
        <v>1466</v>
      </c>
      <c r="N70" s="98">
        <v>1</v>
      </c>
      <c r="O70" s="99">
        <v>1.1000000000000001</v>
      </c>
      <c r="P70" s="56">
        <v>510</v>
      </c>
      <c r="Q70" s="59">
        <f>P70*M70</f>
        <v>747660</v>
      </c>
    </row>
    <row r="71" spans="6:17" ht="20.100000000000001" customHeight="1" x14ac:dyDescent="0.25">
      <c r="F71" s="115"/>
      <c r="G71" s="57" t="s">
        <v>86</v>
      </c>
      <c r="H71" s="51"/>
      <c r="I71" s="51"/>
      <c r="J71" s="52"/>
      <c r="K71" s="44"/>
      <c r="L71" s="63" t="s">
        <v>37</v>
      </c>
      <c r="M71" s="100">
        <f>ROUNDUP(I69*O71/N71,0)</f>
        <v>1466</v>
      </c>
      <c r="N71" s="98">
        <v>1</v>
      </c>
      <c r="O71" s="99">
        <v>1.1000000000000001</v>
      </c>
      <c r="P71" s="56">
        <v>650</v>
      </c>
      <c r="Q71" s="59">
        <f>P71*M71</f>
        <v>952900</v>
      </c>
    </row>
    <row r="72" spans="6:17" ht="30" customHeight="1" x14ac:dyDescent="0.25">
      <c r="F72" s="115" t="s">
        <v>81</v>
      </c>
      <c r="G72" s="87" t="s">
        <v>59</v>
      </c>
      <c r="H72" s="51" t="s">
        <v>37</v>
      </c>
      <c r="I72" s="51">
        <v>182.9</v>
      </c>
      <c r="J72" s="52">
        <v>650</v>
      </c>
      <c r="K72" s="58">
        <f>J72*I72</f>
        <v>118885</v>
      </c>
      <c r="L72" s="51"/>
      <c r="M72" s="51"/>
      <c r="N72" s="41"/>
      <c r="O72" s="42"/>
      <c r="P72" s="51"/>
      <c r="Q72" s="59"/>
    </row>
    <row r="73" spans="6:17" ht="20.100000000000001" customHeight="1" x14ac:dyDescent="0.25">
      <c r="F73" s="115"/>
      <c r="G73" s="57" t="s">
        <v>87</v>
      </c>
      <c r="H73" s="51"/>
      <c r="I73" s="51"/>
      <c r="J73" s="52"/>
      <c r="K73" s="44"/>
      <c r="L73" s="63" t="s">
        <v>37</v>
      </c>
      <c r="M73" s="71">
        <f>ROUNDUP(I72*O73/N73,0)</f>
        <v>202</v>
      </c>
      <c r="N73" s="98">
        <v>1</v>
      </c>
      <c r="O73" s="99">
        <v>1.1000000000000001</v>
      </c>
      <c r="P73" s="56">
        <v>650</v>
      </c>
      <c r="Q73" s="59">
        <f>M73*P73</f>
        <v>131300</v>
      </c>
    </row>
    <row r="74" spans="6:17" ht="20.100000000000001" customHeight="1" x14ac:dyDescent="0.25">
      <c r="F74" s="115"/>
      <c r="G74" s="60" t="s">
        <v>72</v>
      </c>
      <c r="H74" s="95"/>
      <c r="I74" s="96"/>
      <c r="J74" s="96"/>
      <c r="K74" s="97"/>
      <c r="L74" s="63" t="s">
        <v>71</v>
      </c>
      <c r="M74" s="71">
        <f>ROUNDUP(I72*O74/N74,0)</f>
        <v>37</v>
      </c>
      <c r="N74" s="98">
        <v>25</v>
      </c>
      <c r="O74" s="99">
        <v>5</v>
      </c>
      <c r="P74" s="56">
        <v>310</v>
      </c>
      <c r="Q74" s="59">
        <f>M74*P74</f>
        <v>11470</v>
      </c>
    </row>
    <row r="75" spans="6:17" ht="20.100000000000001" customHeight="1" x14ac:dyDescent="0.25">
      <c r="F75" s="115"/>
      <c r="G75" s="60" t="s">
        <v>73</v>
      </c>
      <c r="H75" s="95"/>
      <c r="I75" s="96"/>
      <c r="J75" s="96"/>
      <c r="K75" s="97"/>
      <c r="L75" s="63" t="s">
        <v>71</v>
      </c>
      <c r="M75" s="71">
        <f>ROUNDUP(I72*O75/N75,0)</f>
        <v>14</v>
      </c>
      <c r="N75" s="98">
        <v>2</v>
      </c>
      <c r="O75" s="99">
        <v>0.15</v>
      </c>
      <c r="P75" s="56">
        <v>215</v>
      </c>
      <c r="Q75" s="59">
        <f>M75*P75</f>
        <v>3010</v>
      </c>
    </row>
    <row r="76" spans="6:17" ht="15.75" x14ac:dyDescent="0.25">
      <c r="F76" s="136" t="s">
        <v>24</v>
      </c>
      <c r="G76" s="136"/>
      <c r="H76" s="81"/>
      <c r="I76" s="81"/>
      <c r="J76" s="81"/>
      <c r="K76" s="33">
        <f>SUM(K55:K75)</f>
        <v>1822435</v>
      </c>
      <c r="L76" s="82"/>
      <c r="M76" s="82"/>
      <c r="N76" s="82"/>
      <c r="O76" s="82"/>
      <c r="P76" s="82"/>
      <c r="Q76" s="33">
        <f>SUM(Q55:Q75)</f>
        <v>2629561.4437500001</v>
      </c>
    </row>
    <row r="77" spans="6:17" ht="5.0999999999999996" customHeight="1" x14ac:dyDescent="0.25"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</row>
    <row r="78" spans="6:17" x14ac:dyDescent="0.25">
      <c r="F78" s="37" t="s">
        <v>27</v>
      </c>
      <c r="G78" s="37"/>
      <c r="H78" s="124"/>
      <c r="I78" s="124"/>
      <c r="J78" s="124"/>
      <c r="K78" s="124"/>
      <c r="L78" s="124"/>
      <c r="M78" s="124"/>
      <c r="N78" s="124"/>
      <c r="O78" s="124"/>
      <c r="P78" s="124"/>
      <c r="Q78" s="124"/>
    </row>
    <row r="79" spans="6:17" ht="15.75" x14ac:dyDescent="0.25">
      <c r="F79" s="115" t="s">
        <v>18</v>
      </c>
      <c r="G79" s="83" t="s">
        <v>76</v>
      </c>
      <c r="H79" s="51"/>
      <c r="I79" s="94"/>
      <c r="J79" s="52"/>
      <c r="K79" s="58">
        <v>98568.1</v>
      </c>
      <c r="L79" s="53"/>
      <c r="M79" s="53"/>
      <c r="N79" s="53"/>
      <c r="O79" s="53"/>
      <c r="P79" s="53"/>
      <c r="Q79" s="53"/>
    </row>
    <row r="80" spans="6:17" ht="15.75" x14ac:dyDescent="0.25">
      <c r="F80" s="115" t="s">
        <v>33</v>
      </c>
      <c r="G80" s="104" t="s">
        <v>62</v>
      </c>
      <c r="H80" s="51" t="s">
        <v>37</v>
      </c>
      <c r="I80" s="94">
        <v>5303.4</v>
      </c>
      <c r="J80" s="52">
        <v>120</v>
      </c>
      <c r="K80" s="58">
        <f>J80*I80</f>
        <v>636408</v>
      </c>
      <c r="L80" s="88"/>
      <c r="M80" s="89"/>
      <c r="N80" s="91"/>
      <c r="O80" s="48"/>
      <c r="P80" s="49"/>
      <c r="Q80" s="44"/>
    </row>
    <row r="81" spans="6:17" ht="15.75" x14ac:dyDescent="0.25">
      <c r="F81" s="115" t="s">
        <v>34</v>
      </c>
      <c r="G81" s="104" t="s">
        <v>63</v>
      </c>
      <c r="H81" s="51" t="s">
        <v>37</v>
      </c>
      <c r="I81" s="94">
        <v>1332.5</v>
      </c>
      <c r="J81" s="52">
        <v>120</v>
      </c>
      <c r="K81" s="58">
        <f>J81*I81</f>
        <v>159900</v>
      </c>
      <c r="L81" s="88"/>
      <c r="M81" s="89"/>
      <c r="N81" s="91"/>
      <c r="O81" s="42"/>
      <c r="P81" s="49"/>
      <c r="Q81" s="44"/>
    </row>
    <row r="82" spans="6:17" ht="15.75" x14ac:dyDescent="0.25">
      <c r="F82" s="115" t="s">
        <v>35</v>
      </c>
      <c r="G82" s="104" t="s">
        <v>64</v>
      </c>
      <c r="H82" s="51" t="s">
        <v>37</v>
      </c>
      <c r="I82" s="94">
        <v>1332.5</v>
      </c>
      <c r="J82" s="52">
        <v>70</v>
      </c>
      <c r="K82" s="58">
        <f>J82*I82</f>
        <v>93275</v>
      </c>
      <c r="L82" s="88"/>
      <c r="M82" s="89"/>
      <c r="N82" s="91"/>
      <c r="O82" s="48"/>
      <c r="P82" s="49"/>
      <c r="Q82" s="59"/>
    </row>
    <row r="83" spans="6:17" ht="15.75" x14ac:dyDescent="0.25">
      <c r="F83" s="115" t="s">
        <v>36</v>
      </c>
      <c r="G83" s="104" t="s">
        <v>65</v>
      </c>
      <c r="H83" s="90"/>
      <c r="I83" s="93"/>
      <c r="J83" s="92"/>
      <c r="K83" s="58">
        <v>140000</v>
      </c>
      <c r="L83" s="88"/>
      <c r="M83" s="89"/>
      <c r="N83" s="91"/>
      <c r="O83" s="53"/>
      <c r="P83" s="53"/>
      <c r="Q83" s="53"/>
    </row>
    <row r="84" spans="6:17" ht="15.75" x14ac:dyDescent="0.25">
      <c r="F84" s="115" t="s">
        <v>39</v>
      </c>
      <c r="G84" s="104" t="s">
        <v>66</v>
      </c>
      <c r="H84" s="90"/>
      <c r="I84" s="93"/>
      <c r="J84" s="92"/>
      <c r="K84" s="58">
        <v>150000</v>
      </c>
      <c r="L84" s="88"/>
      <c r="M84" s="89"/>
      <c r="N84" s="91"/>
      <c r="O84" s="48"/>
      <c r="P84" s="49"/>
      <c r="Q84" s="59"/>
    </row>
    <row r="85" spans="6:17" ht="2.25" customHeight="1" x14ac:dyDescent="0.25">
      <c r="F85" s="115" t="s">
        <v>35</v>
      </c>
      <c r="G85" s="50"/>
      <c r="H85" s="47"/>
      <c r="I85" s="54"/>
      <c r="J85" s="54"/>
      <c r="K85" s="58"/>
      <c r="L85" s="51"/>
      <c r="M85" s="51"/>
      <c r="N85" s="51"/>
      <c r="O85" s="51"/>
      <c r="P85" s="51"/>
      <c r="Q85" s="70"/>
    </row>
    <row r="86" spans="6:17" ht="15.75" x14ac:dyDescent="0.25">
      <c r="F86" s="125" t="s">
        <v>24</v>
      </c>
      <c r="G86" s="126"/>
      <c r="H86" s="32"/>
      <c r="I86" s="32"/>
      <c r="J86" s="32"/>
      <c r="K86" s="33">
        <f>SUM(K79:K85)</f>
        <v>1278151.1000000001</v>
      </c>
      <c r="L86" s="34"/>
      <c r="M86" s="35"/>
      <c r="N86" s="35"/>
      <c r="O86" s="35"/>
      <c r="P86" s="35"/>
      <c r="Q86" s="33">
        <f>SUM(Q80:Q85)</f>
        <v>0</v>
      </c>
    </row>
    <row r="87" spans="6:17" ht="5.0999999999999996" customHeight="1" x14ac:dyDescent="0.25">
      <c r="F87" s="127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34"/>
    </row>
    <row r="88" spans="6:17" ht="15.75" x14ac:dyDescent="0.25">
      <c r="F88" s="23"/>
      <c r="G88" s="23"/>
      <c r="H88" s="129" t="s">
        <v>19</v>
      </c>
      <c r="I88" s="130"/>
      <c r="J88" s="131"/>
      <c r="K88" s="101">
        <f>K86+K76</f>
        <v>3100586.1</v>
      </c>
      <c r="L88" s="132" t="s">
        <v>20</v>
      </c>
      <c r="M88" s="133"/>
      <c r="N88" s="133"/>
      <c r="O88" s="133"/>
      <c r="P88" s="152"/>
      <c r="Q88" s="24">
        <f>Q86+Q76</f>
        <v>2629561.4437500001</v>
      </c>
    </row>
    <row r="89" spans="6:17" x14ac:dyDescent="0.25">
      <c r="F89" s="25"/>
      <c r="G89" s="25"/>
      <c r="H89" s="153" t="s">
        <v>89</v>
      </c>
      <c r="I89" s="154"/>
      <c r="J89" s="155"/>
      <c r="K89" s="26">
        <f>K88*0.03</f>
        <v>93017.582999999999</v>
      </c>
      <c r="L89" s="153" t="s">
        <v>30</v>
      </c>
      <c r="M89" s="154"/>
      <c r="N89" s="154"/>
      <c r="O89" s="154"/>
      <c r="P89" s="155"/>
      <c r="Q89" s="26">
        <f>Q88*0.03</f>
        <v>78886.843312500001</v>
      </c>
    </row>
    <row r="90" spans="6:17" ht="16.5" x14ac:dyDescent="0.25">
      <c r="F90" s="148" t="s">
        <v>21</v>
      </c>
      <c r="G90" s="148"/>
      <c r="H90" s="149">
        <f>K88+K89+Q88+Q89</f>
        <v>5902051.9700624999</v>
      </c>
      <c r="I90" s="149"/>
      <c r="J90" s="149"/>
      <c r="K90" s="149"/>
      <c r="L90" s="11"/>
      <c r="M90" s="12"/>
      <c r="N90" s="12"/>
      <c r="O90" s="12"/>
      <c r="P90" s="12"/>
      <c r="Q90" s="12"/>
    </row>
    <row r="91" spans="6:17" ht="17.25" x14ac:dyDescent="0.3">
      <c r="F91" s="150" t="s">
        <v>28</v>
      </c>
      <c r="G91" s="150"/>
      <c r="H91" s="151"/>
      <c r="I91" s="151"/>
      <c r="J91" s="151"/>
      <c r="K91" s="151"/>
    </row>
    <row r="92" spans="6:17" ht="18" x14ac:dyDescent="0.25">
      <c r="F92" s="13"/>
      <c r="G92" s="120" t="s">
        <v>45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</row>
    <row r="93" spans="6:17" ht="18" x14ac:dyDescent="0.25">
      <c r="F93" s="13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</row>
    <row r="94" spans="6:17" ht="18" x14ac:dyDescent="0.25">
      <c r="F94" s="13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</row>
    <row r="95" spans="6:17" ht="18" x14ac:dyDescent="0.25">
      <c r="F95" s="13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</row>
    <row r="96" spans="6:17" ht="18" x14ac:dyDescent="0.25">
      <c r="F96" s="13"/>
      <c r="G96" s="27"/>
      <c r="H96" s="14"/>
      <c r="I96" s="14"/>
      <c r="J96" s="14"/>
      <c r="K96" s="15"/>
      <c r="L96" s="14"/>
      <c r="M96" s="14"/>
      <c r="N96" s="14"/>
      <c r="O96" s="14"/>
      <c r="P96" s="16"/>
      <c r="Q96" s="14"/>
    </row>
    <row r="97" spans="6:17" ht="21" x14ac:dyDescent="0.35">
      <c r="F97" s="72" t="s">
        <v>25</v>
      </c>
      <c r="G97" s="73"/>
      <c r="H97" s="74"/>
      <c r="I97" s="74"/>
      <c r="J97" s="74"/>
      <c r="K97" s="75"/>
      <c r="L97" s="74" t="s">
        <v>23</v>
      </c>
      <c r="M97" s="74"/>
      <c r="N97" s="14"/>
      <c r="O97" s="14"/>
      <c r="P97" s="16"/>
      <c r="Q97" s="14"/>
    </row>
    <row r="98" spans="6:17" ht="21" x14ac:dyDescent="0.35">
      <c r="F98" s="73"/>
      <c r="G98" s="73"/>
      <c r="H98" s="74"/>
      <c r="I98" s="74"/>
      <c r="J98" s="74"/>
      <c r="K98" s="75"/>
      <c r="L98" s="74"/>
      <c r="M98" s="74"/>
      <c r="N98" s="14"/>
      <c r="O98" s="14"/>
      <c r="P98" s="16"/>
      <c r="Q98" s="14"/>
    </row>
    <row r="99" spans="6:17" ht="21" x14ac:dyDescent="0.35">
      <c r="F99" s="73"/>
      <c r="G99" s="73"/>
      <c r="H99" s="74"/>
      <c r="I99" s="74"/>
      <c r="J99" s="74"/>
      <c r="K99" s="75"/>
      <c r="L99" s="74"/>
      <c r="M99" s="74"/>
      <c r="N99" s="14"/>
      <c r="O99" s="14"/>
    </row>
    <row r="100" spans="6:17" ht="21" x14ac:dyDescent="0.35">
      <c r="F100" s="73"/>
      <c r="G100" s="73"/>
      <c r="H100" s="74"/>
      <c r="I100" s="74"/>
      <c r="J100" s="74"/>
      <c r="K100" s="75"/>
      <c r="L100" s="74"/>
      <c r="M100" s="74"/>
      <c r="N100" s="14"/>
      <c r="O100" s="14"/>
      <c r="P100" s="16"/>
      <c r="Q100" s="14"/>
    </row>
    <row r="101" spans="6:17" ht="21" x14ac:dyDescent="0.35">
      <c r="F101" s="72" t="s">
        <v>42</v>
      </c>
      <c r="G101" s="73"/>
      <c r="H101" s="74"/>
      <c r="I101" s="74"/>
      <c r="J101" s="74"/>
      <c r="K101" s="75"/>
      <c r="L101" s="74" t="s">
        <v>43</v>
      </c>
      <c r="M101" s="74"/>
      <c r="N101" s="14"/>
      <c r="O101" s="17"/>
      <c r="P101" s="17"/>
    </row>
    <row r="102" spans="6:17" ht="21" x14ac:dyDescent="0.35">
      <c r="F102" s="73"/>
      <c r="G102" s="73"/>
      <c r="H102" s="74"/>
      <c r="I102" s="74"/>
      <c r="J102" s="74"/>
      <c r="K102" s="75"/>
      <c r="L102" s="74"/>
      <c r="M102" s="74"/>
      <c r="N102" s="14"/>
    </row>
    <row r="103" spans="6:17" ht="21" x14ac:dyDescent="0.35">
      <c r="F103" s="73"/>
      <c r="G103" s="73"/>
      <c r="H103" s="74"/>
      <c r="I103" s="74"/>
      <c r="J103" s="74"/>
      <c r="K103" s="75"/>
      <c r="L103" s="74"/>
      <c r="M103" s="74"/>
      <c r="N103" s="14"/>
      <c r="O103" s="18"/>
      <c r="P103" s="18"/>
    </row>
    <row r="104" spans="6:17" ht="21" x14ac:dyDescent="0.35">
      <c r="F104" s="73"/>
      <c r="G104" s="73"/>
      <c r="H104" s="74"/>
      <c r="I104" s="74"/>
      <c r="J104" s="74"/>
      <c r="K104" s="75"/>
      <c r="L104" s="74"/>
      <c r="M104" s="74"/>
      <c r="N104" s="14"/>
    </row>
    <row r="105" spans="6:17" ht="21" x14ac:dyDescent="0.35">
      <c r="F105" s="76" t="s">
        <v>44</v>
      </c>
      <c r="G105" s="74"/>
      <c r="H105" s="73"/>
      <c r="I105" s="73"/>
      <c r="J105" s="73"/>
      <c r="K105" s="73"/>
      <c r="L105" s="80" t="s">
        <v>31</v>
      </c>
      <c r="M105" s="80"/>
    </row>
    <row r="106" spans="6:17" ht="21" x14ac:dyDescent="0.35">
      <c r="F106" s="76"/>
      <c r="G106" s="73"/>
      <c r="H106" s="74"/>
      <c r="I106" s="74"/>
      <c r="J106" s="74"/>
      <c r="K106" s="75"/>
      <c r="L106" s="74"/>
      <c r="M106" s="74"/>
      <c r="N106" s="14"/>
    </row>
    <row r="107" spans="6:17" ht="21" x14ac:dyDescent="0.35">
      <c r="F107" s="76"/>
      <c r="G107" s="73"/>
      <c r="H107" s="74"/>
      <c r="I107" s="74"/>
      <c r="J107" s="74"/>
      <c r="K107" s="75"/>
      <c r="L107" s="74"/>
      <c r="M107" s="74"/>
      <c r="N107" s="14"/>
    </row>
    <row r="108" spans="6:17" ht="21" x14ac:dyDescent="0.35">
      <c r="F108" s="76"/>
      <c r="G108" s="73"/>
      <c r="H108" s="74"/>
      <c r="I108" s="74"/>
      <c r="J108" s="74"/>
      <c r="K108" s="75"/>
      <c r="L108" s="74"/>
      <c r="M108" s="74"/>
      <c r="N108" s="14"/>
    </row>
    <row r="109" spans="6:17" ht="21" x14ac:dyDescent="0.35">
      <c r="F109" s="76" t="s">
        <v>22</v>
      </c>
      <c r="G109" s="74"/>
      <c r="H109" s="77"/>
      <c r="I109" s="73"/>
      <c r="J109" s="73"/>
      <c r="K109" s="73"/>
      <c r="L109" s="78" t="s">
        <v>29</v>
      </c>
      <c r="M109" s="79"/>
      <c r="N109" s="17"/>
    </row>
  </sheetData>
  <mergeCells count="29">
    <mergeCell ref="F7:Q7"/>
    <mergeCell ref="F1:G1"/>
    <mergeCell ref="K1:Q1"/>
    <mergeCell ref="F3:Q3"/>
    <mergeCell ref="F5:Q5"/>
    <mergeCell ref="F6:Q6"/>
    <mergeCell ref="H78:Q78"/>
    <mergeCell ref="F8:Q8"/>
    <mergeCell ref="F14:F15"/>
    <mergeCell ref="G14:G15"/>
    <mergeCell ref="H14:K14"/>
    <mergeCell ref="L14:Q14"/>
    <mergeCell ref="H17:Q17"/>
    <mergeCell ref="F52:G52"/>
    <mergeCell ref="F53:Q53"/>
    <mergeCell ref="H54:Q54"/>
    <mergeCell ref="F76:G76"/>
    <mergeCell ref="F77:Q77"/>
    <mergeCell ref="F86:G86"/>
    <mergeCell ref="F87:Q87"/>
    <mergeCell ref="H88:J88"/>
    <mergeCell ref="L88:P88"/>
    <mergeCell ref="H89:J89"/>
    <mergeCell ref="L89:P89"/>
    <mergeCell ref="F90:G90"/>
    <mergeCell ref="H90:K90"/>
    <mergeCell ref="F91:G91"/>
    <mergeCell ref="H91:K91"/>
    <mergeCell ref="G92:Q95"/>
  </mergeCells>
  <pageMargins left="0.19685039370078741" right="0.19685039370078741" top="0.31496062992125984" bottom="0.23622047244094491" header="0.31496062992125984" footer="0.31496062992125984"/>
  <pageSetup paperSize="9" scale="45" orientation="portrait" verticalDpi="0" r:id="rId1"/>
  <colBreaks count="1" manualBreakCount="1">
    <brk id="17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4:L7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.140625" customWidth="1"/>
    <col min="2" max="2" width="82.28515625" customWidth="1"/>
    <col min="3" max="3" width="9.28515625" bestFit="1" customWidth="1"/>
    <col min="4" max="4" width="13.85546875" customWidth="1"/>
    <col min="5" max="5" width="13.5703125" customWidth="1"/>
    <col min="6" max="6" width="19.7109375" customWidth="1"/>
    <col min="7" max="7" width="9.28515625" bestFit="1" customWidth="1"/>
    <col min="8" max="8" width="14" customWidth="1"/>
    <col min="9" max="9" width="10.140625" customWidth="1"/>
    <col min="10" max="10" width="10.7109375" customWidth="1"/>
    <col min="11" max="11" width="11.140625" customWidth="1"/>
    <col min="12" max="12" width="19.7109375" customWidth="1"/>
  </cols>
  <sheetData>
    <row r="4" spans="1:12" ht="20.100000000000001" customHeight="1" x14ac:dyDescent="0.25">
      <c r="A4" s="116"/>
      <c r="B4" s="43" t="s">
        <v>100</v>
      </c>
      <c r="C4" s="64"/>
      <c r="D4" s="65"/>
      <c r="E4" s="65"/>
      <c r="F4" s="66"/>
      <c r="G4" s="63" t="s">
        <v>92</v>
      </c>
      <c r="H4" s="71">
        <v>70</v>
      </c>
      <c r="I4" s="98"/>
      <c r="J4" s="99"/>
      <c r="K4" s="56">
        <v>147</v>
      </c>
      <c r="L4" s="59">
        <f>K4*H4</f>
        <v>10290</v>
      </c>
    </row>
    <row r="5" spans="1:12" ht="20.100000000000001" customHeight="1" x14ac:dyDescent="0.25">
      <c r="A5" s="116"/>
      <c r="B5" s="43" t="s">
        <v>101</v>
      </c>
      <c r="C5" s="64"/>
      <c r="D5" s="65"/>
      <c r="E5" s="65"/>
      <c r="F5" s="66"/>
      <c r="G5" s="63" t="s">
        <v>92</v>
      </c>
      <c r="H5" s="71">
        <v>110</v>
      </c>
      <c r="I5" s="98"/>
      <c r="J5" s="99"/>
      <c r="K5" s="56">
        <v>48.5</v>
      </c>
      <c r="L5" s="59">
        <f>K5*H5</f>
        <v>5335</v>
      </c>
    </row>
    <row r="6" spans="1:12" ht="20.100000000000001" customHeight="1" x14ac:dyDescent="0.25">
      <c r="A6" s="116"/>
      <c r="B6" s="43" t="s">
        <v>102</v>
      </c>
      <c r="C6" s="64"/>
      <c r="D6" s="65"/>
      <c r="E6" s="65"/>
      <c r="F6" s="66"/>
      <c r="G6" s="63" t="s">
        <v>92</v>
      </c>
      <c r="H6" s="71">
        <v>220</v>
      </c>
      <c r="I6" s="98"/>
      <c r="J6" s="99"/>
      <c r="K6" s="56">
        <v>20</v>
      </c>
      <c r="L6" s="59">
        <f>K6*H6</f>
        <v>4400</v>
      </c>
    </row>
    <row r="7" spans="1:12" ht="20.100000000000001" customHeight="1" x14ac:dyDescent="0.25">
      <c r="A7" s="116"/>
      <c r="B7" s="43" t="s">
        <v>103</v>
      </c>
      <c r="C7" s="64"/>
      <c r="D7" s="65"/>
      <c r="E7" s="65"/>
      <c r="F7" s="66"/>
      <c r="G7" s="63" t="s">
        <v>92</v>
      </c>
      <c r="H7" s="71">
        <v>50</v>
      </c>
      <c r="I7" s="98"/>
      <c r="J7" s="99"/>
      <c r="K7" s="56">
        <v>230</v>
      </c>
      <c r="L7" s="59">
        <f>K7*H7</f>
        <v>11500</v>
      </c>
    </row>
  </sheetData>
  <pageMargins left="0.7" right="0.7" top="0.75" bottom="0.75" header="0.3" footer="0.3"/>
  <pageSetup paperSize="9"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РС</vt:lpstr>
      <vt:lpstr>Вход</vt:lpstr>
      <vt:lpstr>Лист2</vt:lpstr>
      <vt:lpstr>Вход!Область_печати</vt:lpstr>
      <vt:lpstr>РС!Область_печати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Аландр</cp:lastModifiedBy>
  <cp:revision>7</cp:revision>
  <cp:lastPrinted>2016-04-06T13:20:20Z</cp:lastPrinted>
  <dcterms:created xsi:type="dcterms:W3CDTF">2006-09-28T05:33:49Z</dcterms:created>
  <dcterms:modified xsi:type="dcterms:W3CDTF">2016-05-13T08:17:16Z</dcterms:modified>
  <dc:language>ru</dc:language>
</cp:coreProperties>
</file>