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Юрий\Desktop\Общая\Квартирный вопрос\РЕМОНТ\Док-ты на ремонт (СЕНТЯБРЬ)\"/>
    </mc:Choice>
  </mc:AlternateContent>
  <bookViews>
    <workbookView xWindow="0" yWindow="0" windowWidth="28800" windowHeight="12435"/>
  </bookViews>
  <sheets>
    <sheet name="Смета на работы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18" i="1" l="1"/>
  <c r="G118" i="1"/>
  <c r="D118" i="1"/>
  <c r="C118" i="1"/>
  <c r="I118" i="1" s="1"/>
  <c r="C18" i="1" l="1"/>
  <c r="E36" i="1" l="1"/>
  <c r="I36" i="1" s="1"/>
  <c r="D39" i="1"/>
  <c r="D44" i="1"/>
  <c r="G44" i="1"/>
  <c r="C44" i="1"/>
  <c r="H38" i="1" l="1"/>
  <c r="E38" i="1"/>
  <c r="C38" i="1"/>
  <c r="D41" i="1"/>
  <c r="I38" i="1" l="1"/>
  <c r="I39" i="1"/>
  <c r="G42" i="1" l="1"/>
  <c r="E40" i="1"/>
  <c r="I40" i="1" s="1"/>
  <c r="E41" i="1"/>
  <c r="C42" i="1"/>
  <c r="G35" i="1"/>
  <c r="C19" i="1"/>
  <c r="E20" i="1"/>
  <c r="I42" i="1" l="1"/>
  <c r="I19" i="1"/>
  <c r="E13" i="1"/>
  <c r="I13" i="1" s="1"/>
  <c r="F14" i="1"/>
  <c r="I14" i="1" s="1"/>
  <c r="E15" i="1"/>
  <c r="I15" i="1" s="1"/>
  <c r="I16" i="1"/>
  <c r="E17" i="1"/>
  <c r="I17" i="1" s="1"/>
  <c r="I18" i="1"/>
  <c r="I20" i="1"/>
  <c r="I21" i="1"/>
  <c r="I22" i="1"/>
  <c r="C23" i="1"/>
  <c r="D23" i="1"/>
  <c r="E23" i="1"/>
  <c r="G23" i="1"/>
  <c r="H23" i="1"/>
  <c r="I24" i="1"/>
  <c r="I25" i="1"/>
  <c r="I26" i="1"/>
  <c r="I27" i="1"/>
  <c r="I28" i="1"/>
  <c r="I29" i="1"/>
  <c r="D30" i="1"/>
  <c r="E30" i="1"/>
  <c r="C31" i="1"/>
  <c r="D31" i="1"/>
  <c r="E31" i="1"/>
  <c r="G31" i="1"/>
  <c r="D34" i="1"/>
  <c r="I34" i="1" s="1"/>
  <c r="I35" i="1"/>
  <c r="C37" i="1"/>
  <c r="I37" i="1" s="1"/>
  <c r="I43" i="1"/>
  <c r="E44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9" i="1"/>
  <c r="I70" i="1"/>
  <c r="I71" i="1"/>
  <c r="I72" i="1"/>
  <c r="I73" i="1"/>
  <c r="I74" i="1"/>
  <c r="I75" i="1"/>
  <c r="I76" i="1"/>
  <c r="I77" i="1"/>
  <c r="I78" i="1"/>
  <c r="I79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D97" i="1"/>
  <c r="E97" i="1"/>
  <c r="I98" i="1"/>
  <c r="E99" i="1"/>
  <c r="I99" i="1" s="1"/>
  <c r="I100" i="1"/>
  <c r="D101" i="1"/>
  <c r="I101" i="1" s="1"/>
  <c r="D102" i="1"/>
  <c r="E102" i="1"/>
  <c r="I106" i="1"/>
  <c r="I107" i="1"/>
  <c r="I108" i="1"/>
  <c r="I109" i="1"/>
  <c r="I110" i="1"/>
  <c r="I111" i="1"/>
  <c r="I112" i="1"/>
  <c r="I113" i="1"/>
  <c r="C117" i="1"/>
  <c r="D117" i="1"/>
  <c r="G117" i="1"/>
  <c r="H117" i="1"/>
  <c r="C119" i="1"/>
  <c r="D119" i="1"/>
  <c r="G119" i="1"/>
  <c r="H119" i="1"/>
  <c r="C120" i="1"/>
  <c r="D120" i="1"/>
  <c r="G120" i="1"/>
  <c r="H120" i="1"/>
  <c r="C121" i="1"/>
  <c r="D121" i="1"/>
  <c r="G121" i="1"/>
  <c r="H121" i="1"/>
  <c r="C122" i="1"/>
  <c r="D122" i="1"/>
  <c r="E122" i="1"/>
  <c r="G122" i="1"/>
  <c r="C123" i="1"/>
  <c r="D123" i="1"/>
  <c r="G123" i="1"/>
  <c r="H123" i="1"/>
  <c r="C124" i="1"/>
  <c r="D124" i="1"/>
  <c r="G124" i="1"/>
  <c r="H124" i="1"/>
  <c r="I127" i="1"/>
  <c r="H129" i="1"/>
  <c r="I129" i="1" s="1"/>
  <c r="H130" i="1"/>
  <c r="I130" i="1" s="1"/>
  <c r="I131" i="1"/>
  <c r="H132" i="1"/>
  <c r="I132" i="1" s="1"/>
  <c r="I133" i="1"/>
  <c r="I134" i="1"/>
  <c r="I136" i="1"/>
  <c r="I137" i="1"/>
  <c r="I138" i="1"/>
  <c r="I139" i="1"/>
  <c r="C140" i="1"/>
  <c r="D140" i="1"/>
  <c r="G140" i="1"/>
  <c r="H140" i="1"/>
  <c r="I141" i="1"/>
  <c r="I147" i="1"/>
  <c r="I144" i="1"/>
  <c r="I145" i="1"/>
  <c r="I146" i="1"/>
  <c r="C116" i="1"/>
  <c r="D116" i="1"/>
  <c r="I97" i="1" l="1"/>
  <c r="I31" i="1"/>
  <c r="I116" i="1"/>
  <c r="I30" i="1"/>
  <c r="I102" i="1"/>
  <c r="I117" i="1"/>
  <c r="I23" i="1"/>
  <c r="I140" i="1"/>
  <c r="L142" i="1" s="1"/>
  <c r="I41" i="1"/>
  <c r="I121" i="1"/>
  <c r="I123" i="1"/>
  <c r="I119" i="1"/>
  <c r="I44" i="1"/>
  <c r="I122" i="1"/>
  <c r="I124" i="1"/>
  <c r="I120" i="1"/>
  <c r="L114" i="1"/>
  <c r="L94" i="1"/>
  <c r="L67" i="1"/>
  <c r="L149" i="1"/>
  <c r="L32" i="1" l="1"/>
  <c r="L103" i="1"/>
  <c r="L125" i="1"/>
  <c r="L45" i="1"/>
  <c r="L150" i="1" l="1"/>
</calcChain>
</file>

<file path=xl/sharedStrings.xml><?xml version="1.0" encoding="utf-8"?>
<sst xmlns="http://schemas.openxmlformats.org/spreadsheetml/2006/main" count="282" uniqueCount="168">
  <si>
    <t>Ед. измер.</t>
  </si>
  <si>
    <t>Сумма (руб.)</t>
  </si>
  <si>
    <t>Цена за ед. (руб.)</t>
  </si>
  <si>
    <t>м.кв.</t>
  </si>
  <si>
    <t>к-т</t>
  </si>
  <si>
    <t>Демонтаж стальной ванны</t>
  </si>
  <si>
    <t>шт.</t>
  </si>
  <si>
    <t>Демонтаж унитаза в сборе</t>
  </si>
  <si>
    <t>Демонтаж полотенце-сушителя</t>
  </si>
  <si>
    <t>Вывоз мусора (с выносом и погрузкой в контейнер)</t>
  </si>
  <si>
    <t>Наименование и площадь помещений кв-ры, (м.кв.)</t>
  </si>
  <si>
    <t>Общий объем</t>
  </si>
  <si>
    <t>м.пог.</t>
  </si>
  <si>
    <t>тн.</t>
  </si>
  <si>
    <t>ИТОГО:</t>
  </si>
  <si>
    <t>Демонтаж газовой плиты</t>
  </si>
  <si>
    <t>Демонтаж паркета</t>
  </si>
  <si>
    <t>Уборная-1,1</t>
  </si>
  <si>
    <t>Балкон                    0,7</t>
  </si>
  <si>
    <t>Кухня-5,6</t>
  </si>
  <si>
    <t>Ванная-2,2</t>
  </si>
  <si>
    <t>м.куб.</t>
  </si>
  <si>
    <t xml:space="preserve">Демонтаж антресоли и дверного блока с дв. кухни </t>
  </si>
  <si>
    <t>Установка и подключение стир. Машины</t>
  </si>
  <si>
    <t>ПРИМЕЧАНИЕ:</t>
  </si>
  <si>
    <t>Удаление краски и обоев со стен всех помещений (за исключ. стен, подлежащих сносу)</t>
  </si>
  <si>
    <t>Демонтаж кух. мойки и смесителей</t>
  </si>
  <si>
    <t xml:space="preserve">Демонтаж керамической плитки со стен кухни и санузла </t>
  </si>
  <si>
    <r>
      <t xml:space="preserve">Штробление кабельных трасс 2х2 см в стенах и потолке под эл.проводку освещения.                </t>
    </r>
    <r>
      <rPr>
        <b/>
        <sz val="10"/>
        <rFont val="Arial"/>
        <family val="2"/>
        <charset val="204"/>
      </rPr>
      <t>Фотофиксация штраб</t>
    </r>
    <r>
      <rPr>
        <sz val="10"/>
        <rFont val="Arial"/>
        <family val="2"/>
        <charset val="204"/>
      </rPr>
      <t>.</t>
    </r>
  </si>
  <si>
    <t>м</t>
  </si>
  <si>
    <t>Составление монтажной Схемы подключения линий эл.проводки к квартирному распред. электрощиту (по группам потребителей) и Акта ввода эл.проводки квартиры в эксплуатацию.</t>
  </si>
  <si>
    <t>Прихожая (коридор)  4,7</t>
  </si>
  <si>
    <t>Прозвонка электропроводки и проверка ее работоспособности (в т.ч. правильности подключения фазы, "0", "⏚", аварийного срабатывания автомат. выключателей защиты всех линий и т.д.).              Маркировка наименований линий в электрощитке.</t>
  </si>
  <si>
    <t>м. кв.</t>
  </si>
  <si>
    <t xml:space="preserve">Наименование работ </t>
  </si>
  <si>
    <t>Комната (зал) - 17,5</t>
  </si>
  <si>
    <t>Установка светильников, электрозвонка, TV, Wi Fi, домофона и их подключение к сети</t>
  </si>
  <si>
    <t>Установка фильтров грубой очистки хол. и гор. воды</t>
  </si>
  <si>
    <t>Установка вводной запорной арматуры (кранов шаровых) на стояках ХВС и ГВС</t>
  </si>
  <si>
    <t>Установка счетчиков  ХВС и ГВС</t>
  </si>
  <si>
    <t>Установка полотенцесушителя (с 2-мя отсечными шаровыми кранами и байпасом на стояке ГВС)</t>
  </si>
  <si>
    <r>
      <t xml:space="preserve">Штробление отверстий под розетки, выключатели, распред. коробки. </t>
    </r>
    <r>
      <rPr>
        <b/>
        <sz val="10"/>
        <rFont val="Arial"/>
        <family val="2"/>
        <charset val="204"/>
      </rPr>
      <t>Фотофиксация отверстий под электроарматуру.</t>
    </r>
  </si>
  <si>
    <t>Устройство ниши для электрощитка</t>
  </si>
  <si>
    <t>Установка и подключ. кухон. мойки со смесителем</t>
  </si>
  <si>
    <t xml:space="preserve">Герметизация стыков ванной и раковины умывальника со стеной </t>
  </si>
  <si>
    <t>Монтаж и установка бронзовых коллекторов-распределителей хол. и гор. воды и их жесткое крепление к стене</t>
  </si>
  <si>
    <r>
      <t xml:space="preserve">Штробление кабельных трасс 2,5х2 см в стенах под эл.проводку розеток.                </t>
    </r>
    <r>
      <rPr>
        <b/>
        <sz val="10"/>
        <rFont val="Arial"/>
        <family val="2"/>
        <charset val="204"/>
      </rPr>
      <t>Фотофиксация штраб</t>
    </r>
    <r>
      <rPr>
        <sz val="10"/>
        <rFont val="Arial"/>
        <family val="2"/>
        <charset val="204"/>
      </rPr>
      <t>.</t>
    </r>
  </si>
  <si>
    <t>Проверка водопроводной и канализационной систем на отсутствие протечки</t>
  </si>
  <si>
    <t>Составление монтажной Схемы разводки и подключения водопроводной и канализационной систем</t>
  </si>
  <si>
    <t>Анализ мест монтажа труб и подключения сантехнических и бытовых приборов (метод прокладки - скрытый)</t>
  </si>
  <si>
    <t>Устройство ниши разм. 0,6 х1,0 х0,2м для размещения водоразборной и запорной сантехнической арматуры и приборов учета воды</t>
  </si>
  <si>
    <r>
      <t xml:space="preserve">Штробление поверхностей для прокладки полипропиленовых труб ХВС и ГВС d-20 mm. </t>
    </r>
    <r>
      <rPr>
        <b/>
        <sz val="10"/>
        <rFont val="Arial"/>
        <family val="2"/>
        <charset val="204"/>
      </rPr>
      <t>Фотофиксация штраб</t>
    </r>
    <r>
      <rPr>
        <sz val="10"/>
        <rFont val="Arial"/>
        <family val="2"/>
        <charset val="204"/>
      </rPr>
      <t>.</t>
    </r>
  </si>
  <si>
    <r>
      <t xml:space="preserve">Штробление поверхностей для прокладки сливных труб d-50 mm. </t>
    </r>
    <r>
      <rPr>
        <b/>
        <sz val="10"/>
        <rFont val="Arial"/>
        <family val="2"/>
        <charset val="204"/>
      </rPr>
      <t>Фотофиксация штраб</t>
    </r>
    <r>
      <rPr>
        <sz val="10"/>
        <rFont val="Arial"/>
        <family val="2"/>
        <charset val="204"/>
      </rPr>
      <t>.</t>
    </r>
  </si>
  <si>
    <r>
      <t xml:space="preserve">Штробление поверхностей для прокладки канализационных труб d-100 mm. </t>
    </r>
    <r>
      <rPr>
        <b/>
        <sz val="10"/>
        <rFont val="Arial"/>
        <family val="2"/>
        <charset val="204"/>
      </rPr>
      <t>Фотофиксация штраб</t>
    </r>
    <r>
      <rPr>
        <sz val="10"/>
        <rFont val="Arial"/>
        <family val="2"/>
        <charset val="204"/>
      </rPr>
      <t>.</t>
    </r>
  </si>
  <si>
    <t>Заделка штраб в стенах штукатурной смесью (после проверки соединений систем и составления монтажной Схемы водопровода и канализации)</t>
  </si>
  <si>
    <r>
      <t xml:space="preserve">Совмещ. Санузел-4,8 </t>
    </r>
    <r>
      <rPr>
        <sz val="8"/>
        <rFont val="Arial"/>
        <family val="2"/>
        <charset val="204"/>
      </rPr>
      <t>(после перепл.)</t>
    </r>
  </si>
  <si>
    <r>
      <t xml:space="preserve">3,2 </t>
    </r>
    <r>
      <rPr>
        <sz val="8"/>
        <rFont val="Arial"/>
        <family val="2"/>
        <charset val="204"/>
      </rPr>
      <t>(после перепл.)</t>
    </r>
  </si>
  <si>
    <t>Удаление старой шпаклевки, краски, загрязнений, плесени с потолка всех помещений</t>
  </si>
  <si>
    <t xml:space="preserve">а) Потолки: </t>
  </si>
  <si>
    <t xml:space="preserve">IV. ПОДГОТОВКА ПОВЕРХНОСТЕЙ к ОБЛИЦОВКЕ и ЧИСТОВАЯ ОТДЕЛКА: </t>
  </si>
  <si>
    <t>Изготовление в с/узле порожка разм. 0,8 м х 0,08 х 0,05 (выс.) из напольной плитки</t>
  </si>
  <si>
    <t>Облицовка кухон."фартука" разм. 3,73 м х 0,60 м керам. плиткой 20х20 см (расстояние от чистового пола до нижнего ряда плитки - 87 см)</t>
  </si>
  <si>
    <t>Затирка швов керам. плитки</t>
  </si>
  <si>
    <r>
      <t xml:space="preserve">Грунтование стен комнаты, кухни, прихожей и балкона под шпатлевку (грунтом с антигрибковым, влагозащитным качествами типа Ceresit), 2 слоя.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 xml:space="preserve">.
</t>
    </r>
  </si>
  <si>
    <r>
      <t xml:space="preserve">Шпаклевание стен комнаты, кухни, прихожей и балкона под шпатлевку на основе цементно-песчаных смесей (типа Weber Vetonit).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</si>
  <si>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Шлифовка стен черновой шпатлевки.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 xml:space="preserve">. </t>
    </r>
  </si>
  <si>
    <r>
      <t xml:space="preserve">Финишная шпаклевка всей площади стен.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 xml:space="preserve">. </t>
    </r>
  </si>
  <si>
    <r>
      <t xml:space="preserve">Шлифовка финишной шпатлевки всей поверхности стен.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</si>
  <si>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Установка потолочных плинтусов из пенопласта.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</si>
  <si>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Окрашивание стен колером персикового цвета нейтральных и ненасыщенных (пастельных) тонов, 3 слоя.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</si>
  <si>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Подготовка бетонного пола под ламинат (удаления бетонных «нашлепок», мусора и других неровностей чернового пола).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</si>
  <si>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Распил и укладка 20 мм-фанеры с креплением на бетонное основание саморезами (монтаж листов по схеме кирпич. кладки на битумный праймер, с соблюдением технолог. зазоров и шлифовкой перепадов стыков смежных листов).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</si>
  <si>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r>
      <t xml:space="preserve">Укладка 2-х мм пробковой подложки под ламинат и крепление ее стыков строительным скотчем.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</si>
  <si>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t xml:space="preserve">Монтаж пластикового плинтуса с кабель-каналом </t>
  </si>
  <si>
    <t>Укладка влагостойкого 8 мм ламината 32 класса (от европейских производителей: Egger, Ecoflooring, Classen, Berryalloc, Haro или российских производителей: Quick-Step, Tarkett, Kronospan, Ламинели)</t>
  </si>
  <si>
    <t xml:space="preserve">VI. ПРОЧИЕ РАБОТЫ: </t>
  </si>
  <si>
    <t xml:space="preserve">б) СТЕНЫ: </t>
  </si>
  <si>
    <t xml:space="preserve">Демонтаж ненесущей перегородки между ванной и уборной (разм. 1,51 м х 2,48 м х 0,08 м) </t>
  </si>
  <si>
    <t xml:space="preserve">Демонтаж двух ненесущих стен уборной с дверной коробкой и дв. (общ. разм. 2,33 м х 2,48 м х 0,08 м) </t>
  </si>
  <si>
    <t xml:space="preserve">Демонтаж ненесущей стены с дверной коробкой и дв. ванной (разм. 0,89 м х 2,48 м х 0,08 м) </t>
  </si>
  <si>
    <t xml:space="preserve">Демонтаж части ненесущей стены комнаты с дверной коробкой и дв. (разм. 1,46 м х 2,48 м х 0,08 м) </t>
  </si>
  <si>
    <t xml:space="preserve">Закладка части старого дверного проема в ненесущей стене комнаты пенобетонными блоками на ц.п. растворе (разм. 0,62 м х 2,48 м х 0,08 м) </t>
  </si>
  <si>
    <t>Уборка квартиры и ее подготовка к сдаче-приемке (установка крышек розеток, выключателей, дверной фурнитуры и др.)</t>
  </si>
  <si>
    <r>
      <t xml:space="preserve">Укладка и закрепление в ПВХ каналах эл.провода NYM 3х2,5  (выведение и изоляция контактов в подразетниках). </t>
    </r>
    <r>
      <rPr>
        <b/>
        <sz val="10"/>
        <rFont val="Arial"/>
        <family val="2"/>
        <charset val="204"/>
      </rPr>
      <t>Фотофиксация монтажа 3-х линий розеток.</t>
    </r>
  </si>
  <si>
    <r>
      <t xml:space="preserve">Укладка и закрепление в штробах и ПВХ каналах эл.провода NYM 3х1,5 (выведение и изоляция контактов под светильники и в распред. коробках освещения).                 </t>
    </r>
    <r>
      <rPr>
        <b/>
        <sz val="10"/>
        <rFont val="Arial"/>
        <family val="2"/>
        <charset val="204"/>
      </rPr>
      <t>Фотофиксация монтажа линий освещения.</t>
    </r>
  </si>
  <si>
    <t>Определение мест прохождения старой электропроводки, ее отключение и удаление</t>
  </si>
  <si>
    <r>
      <t xml:space="preserve">Прокладка одножильного медного кабеля сеч. 10 кв.мм от эл.щита до коммут. коробки ванной с "0" шиной (для защит. заземления чугун. ванны).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>.</t>
    </r>
  </si>
  <si>
    <t xml:space="preserve">Точное определение всех точек потребления хол. и гор. воды </t>
  </si>
  <si>
    <t xml:space="preserve">Нанесение разметки на стенах и полу для устройства водорозеток, прокладки новых труб и установки сантехники, из расчета: кух. мойки, посудомоеч. машины, ванны, умывальника, унитаза, стир. машины и полотенцесушителя </t>
  </si>
  <si>
    <t>Установка двухрядного карниза для штор в комнате и жалюзи (рольставни) на кухне</t>
  </si>
  <si>
    <t>2) Облицовка балкона:</t>
  </si>
  <si>
    <t>Демонтаж оконных блоков с рамой и двери на балкон</t>
  </si>
  <si>
    <t>блок</t>
  </si>
  <si>
    <r>
      <rPr>
        <b/>
        <sz val="10"/>
        <rFont val="Arial"/>
        <family val="2"/>
        <charset val="204"/>
      </rPr>
      <t>Подготовка оконных и дверных проемов к установке стеклопакетов</t>
    </r>
    <r>
      <rPr>
        <sz val="10"/>
        <rFont val="Arial"/>
        <family val="2"/>
        <charset val="204"/>
      </rPr>
      <t xml:space="preserve"> (проведение замеров и определение геометрии проемов, очистка проемов до бетон. основания, грунтование, выравнивание поверхностей откосов, подоконника, порожка штукатур. растворами до идеального ровного состояния)</t>
    </r>
  </si>
  <si>
    <t>Демонтаж окошка в ненесущей стене между кухней и ванной и его закладка пеноблоками наглухо (разм. 0,70 м х 0,55 м х 0,08 м)</t>
  </si>
  <si>
    <t>обшивка потолка панелями ПВХ белого цвета</t>
  </si>
  <si>
    <t>обшивка внутренних стенок балкона и фасадной стены декор. пластиковыми панелями</t>
  </si>
  <si>
    <t>монтаж нового подоконника ПВХ шир. 15 см и отливов</t>
  </si>
  <si>
    <r>
      <t xml:space="preserve">Штробление кабельной трассы 2х2 см в стенах под кабель TV и WWW.                </t>
    </r>
    <r>
      <rPr>
        <b/>
        <sz val="10"/>
        <rFont val="Arial"/>
        <family val="2"/>
        <charset val="204"/>
      </rPr>
      <t>Фотофиксация штрабы</t>
    </r>
    <r>
      <rPr>
        <sz val="10"/>
        <rFont val="Arial"/>
        <family val="2"/>
        <charset val="204"/>
      </rPr>
      <t>.</t>
    </r>
  </si>
  <si>
    <r>
      <t xml:space="preserve">Прокладка и закрепление (вмурование) ПВХ каналов в стенах и полу под кабели TV и WWW. </t>
    </r>
    <r>
      <rPr>
        <b/>
        <sz val="10"/>
        <rFont val="Arial"/>
        <family val="2"/>
        <charset val="204"/>
      </rPr>
      <t>Фотофиксация ПВХ каналов</t>
    </r>
    <r>
      <rPr>
        <sz val="10"/>
        <rFont val="Arial"/>
        <family val="2"/>
        <charset val="204"/>
      </rPr>
      <t>.</t>
    </r>
  </si>
  <si>
    <r>
      <t xml:space="preserve">Прокладка и закрепление (вмурование) ПВХ каналов в стенах и полу под эл.проводку освещения. </t>
    </r>
    <r>
      <rPr>
        <b/>
        <sz val="10"/>
        <rFont val="Arial"/>
        <family val="2"/>
        <charset val="204"/>
      </rPr>
      <t>Фотофиксация ПВХ каналов освещения.</t>
    </r>
  </si>
  <si>
    <r>
      <t xml:space="preserve">Прокладка и закрепление (вмурование) ПВХ каналов в стенах и полу под эл.проводку розеток. </t>
    </r>
    <r>
      <rPr>
        <b/>
        <sz val="10"/>
        <rFont val="Arial"/>
        <family val="2"/>
        <charset val="204"/>
      </rPr>
      <t>Фотофиксация ПВХ каналов розеток.</t>
    </r>
  </si>
  <si>
    <r>
      <t xml:space="preserve">Укладка и закрепление в ПВХ каналах кабелей TV и WWW. </t>
    </r>
    <r>
      <rPr>
        <b/>
        <sz val="10"/>
        <rFont val="Arial"/>
        <family val="2"/>
        <charset val="204"/>
      </rPr>
      <t>Фотофиксация монтажа 2-х линий кабелей TV.</t>
    </r>
  </si>
  <si>
    <r>
      <t xml:space="preserve">Установка розеток и выключателей в гнездах и их подключение к сети. </t>
    </r>
    <r>
      <rPr>
        <b/>
        <sz val="10"/>
        <rFont val="Arial"/>
        <family val="2"/>
        <charset val="204"/>
      </rPr>
      <t>Фотофиксация сборки 5-ти линий со всей электроарматурой</t>
    </r>
    <r>
      <rPr>
        <sz val="10"/>
        <rFont val="Arial"/>
        <family val="2"/>
        <charset val="204"/>
      </rPr>
      <t>.</t>
    </r>
  </si>
  <si>
    <t>Заделка штраб в стенах штукатурной смесью (после составления монтажной Схемы и подписания Акта ввода эл.проводки в эксплуатацию)</t>
  </si>
  <si>
    <t>гидроизоляция поверхностей балкона и утепление стенок фольгированным утеплителем</t>
  </si>
  <si>
    <r>
      <t xml:space="preserve">Грунтование стен под покраску (2 слоя). </t>
    </r>
    <r>
      <rPr>
        <b/>
        <sz val="10"/>
        <rFont val="Arial"/>
        <family val="2"/>
        <charset val="204"/>
      </rPr>
      <t>Фотофиксация</t>
    </r>
    <r>
      <rPr>
        <sz val="10"/>
        <rFont val="Arial"/>
        <family val="2"/>
        <charset val="204"/>
      </rPr>
      <t xml:space="preserve">. </t>
    </r>
  </si>
  <si>
    <t>Окрашивание потолка водоимульсионной краской в белый цвет (3 слоя)</t>
  </si>
  <si>
    <t>Установка в ванной душевой штанги и подключение гибкой подводки с лейкой к смесителю</t>
  </si>
  <si>
    <r>
      <t xml:space="preserve">Сборка силового распределит. Электрощитка (Узо и автоматов), его установка в стенной нише прихожей и подключение к этажному щиту (стояку) кабелем NYM 3х10.             </t>
    </r>
    <r>
      <rPr>
        <b/>
        <sz val="10"/>
        <rFont val="Arial"/>
        <family val="2"/>
        <charset val="204"/>
      </rPr>
      <t>Фотофиксация отвода от этажного стояка и подключения квартирного электрощитка</t>
    </r>
    <r>
      <rPr>
        <sz val="10"/>
        <rFont val="Arial"/>
        <family val="2"/>
        <charset val="204"/>
      </rPr>
      <t>.</t>
    </r>
  </si>
  <si>
    <t>Возведение перегородки с встроенным дверным блоком между санузлом и коридором (разм. 2,51 м х 2,48 м х 0,08 м) из пенобетонных ПГБ марки Д600</t>
  </si>
  <si>
    <t>Возведение глухой перегородки между кухней и санузлом (разм. 0,86 м х 2,48 м х 0,08 м) из пенобетонных пазогребневых блоков марки Д600 (монтаж блоков по схеме кирпич. кладки, со смещением каждого ряда относительно друг друга не менее, чем на 1/3 и пазом вверх)</t>
  </si>
  <si>
    <t>Кол-во спец-ов (чел.)</t>
  </si>
  <si>
    <t>Спец. инструмент, оборудование и инвентарь</t>
  </si>
  <si>
    <t>Приложение № 1</t>
  </si>
  <si>
    <t>Монтаж, установка (с раздвиж. экраном под ванну), подключение и заземление чугун. ванны со смесителем согласно Проекту</t>
  </si>
  <si>
    <t>Монтаж, установка и подключ. умывальника "Мой додыр" (в к-те с тумбой, шкафом и смесителем) согласно Проекту</t>
  </si>
  <si>
    <t>Установка и подключение унитаза с бачком согласно Проекту</t>
  </si>
  <si>
    <t xml:space="preserve">Облицовка пола с/узла керам. плиткой 25х25 см (согласно Проекту уровень пола должен быть на 2 см ниже от уровня пола остальных помещений) </t>
  </si>
  <si>
    <t xml:space="preserve">5) Настилка полов (строго по Проекту): </t>
  </si>
  <si>
    <t>Закупка и доставка материалов на объект</t>
  </si>
  <si>
    <t>Очистка бетонного основания пола от старой стяжки, мусора и пыли</t>
  </si>
  <si>
    <t xml:space="preserve">II.ЭЛЕКТРОМОНТАЖНЫЕ РАБОТЫ (в соотв. с ПУЭ-7): </t>
  </si>
  <si>
    <t xml:space="preserve">1) Плиточные работы в санузле и на кухне </t>
  </si>
  <si>
    <r>
      <t xml:space="preserve">Исполнительная документация – </t>
    </r>
    <r>
      <rPr>
        <sz val="10"/>
        <rFont val="Arial"/>
        <family val="2"/>
        <charset val="204"/>
      </rPr>
      <t>сертификаты, технические паспорта и другие документы, удостоверяющие качество материалов, конструкций, изделий, оборудования, применяемые при производстве работ; акты</t>
    </r>
  </si>
  <si>
    <r>
      <t xml:space="preserve">Прокладка полипропиленовых труб d-20 mm ХВС и ГВС (с водорозетками на конце) от коллекторов к приборам потребления: кух. мойке, посудомоечной машине, ванной, умывальнику, унитазу, стир. машине и полотенцесушителю) согласно Проекту. </t>
    </r>
    <r>
      <rPr>
        <b/>
        <sz val="10"/>
        <rFont val="Arial"/>
        <family val="2"/>
        <charset val="204"/>
      </rPr>
      <t>Фотофиксация.</t>
    </r>
  </si>
  <si>
    <r>
      <t xml:space="preserve">Прокладка сливных труб d-50 mm от кух. мойки, посудомоечной машины, ванной, умывальника и стир. машины к стояку канализации согласно Проекту. </t>
    </r>
    <r>
      <rPr>
        <b/>
        <sz val="10"/>
        <rFont val="Arial"/>
        <family val="2"/>
        <charset val="204"/>
      </rPr>
      <t>Фотофиксация.</t>
    </r>
  </si>
  <si>
    <r>
      <t xml:space="preserve">Прокладка труб канализации  d-110 mm от унитаза к стояку согласно Проекту. </t>
    </r>
    <r>
      <rPr>
        <b/>
        <sz val="10"/>
        <rFont val="Arial"/>
        <family val="2"/>
        <charset val="204"/>
      </rPr>
      <t>Фотофиксация.</t>
    </r>
  </si>
  <si>
    <r>
      <t xml:space="preserve">Грунтование стен, пола с/узла и "фартука" кухни  под плитку грунтами «Бетоноконтакт» или «Церезит СТ 19» (2 слоя). </t>
    </r>
    <r>
      <rPr>
        <b/>
        <sz val="10"/>
        <rFont val="Arial"/>
        <family val="2"/>
        <charset val="204"/>
      </rPr>
      <t>Фотофиксация.</t>
    </r>
  </si>
  <si>
    <r>
      <t xml:space="preserve">Грунтование потолка под шпатлевку (грунтом с антигрибковым, влагозащитным качествами типа Бетоноконтакт, Ceresit), 2 слоя. </t>
    </r>
    <r>
      <rPr>
        <b/>
        <sz val="10"/>
        <rFont val="Arial"/>
        <family val="2"/>
        <charset val="204"/>
      </rPr>
      <t>Фотофиксация.</t>
    </r>
    <r>
      <rPr>
        <sz val="10"/>
        <rFont val="Arial"/>
        <family val="2"/>
        <charset val="204"/>
      </rPr>
      <t xml:space="preserve">
</t>
    </r>
  </si>
  <si>
    <r>
      <t xml:space="preserve">Шпаклевание поверхности потолка кухни и с/узла на основе цементно-песчаных смесей (типа Weber Vetonit). </t>
    </r>
    <r>
      <rPr>
        <b/>
        <sz val="10"/>
        <rFont val="Arial"/>
        <family val="2"/>
        <charset val="204"/>
      </rPr>
      <t>Фотофиксация.</t>
    </r>
  </si>
  <si>
    <r>
      <t xml:space="preserve">Шпаклевание поверхности потолка комнаты и прихожей на основе гипсовых смесей Кнауф (Ротбанд). </t>
    </r>
    <r>
      <rPr>
        <b/>
        <sz val="10"/>
        <rFont val="Arial"/>
        <family val="2"/>
        <charset val="204"/>
      </rPr>
      <t>Фотофиксация.</t>
    </r>
  </si>
  <si>
    <r>
      <t xml:space="preserve">Шлифовка потолка черновой шпатлевки. </t>
    </r>
    <r>
      <rPr>
        <b/>
        <sz val="10"/>
        <rFont val="Arial"/>
        <family val="2"/>
        <charset val="204"/>
      </rPr>
      <t xml:space="preserve">Фотофиксация.  </t>
    </r>
  </si>
  <si>
    <r>
      <t xml:space="preserve">Финишная шпаклевка всей площади потолка слоем 0,5 см. </t>
    </r>
    <r>
      <rPr>
        <b/>
        <sz val="10"/>
        <rFont val="Arial"/>
        <family val="2"/>
        <charset val="204"/>
      </rPr>
      <t>Фотофиксация.</t>
    </r>
  </si>
  <si>
    <r>
      <t xml:space="preserve">Шлифовка финишной шпатлевки поверхности потолка. </t>
    </r>
    <r>
      <rPr>
        <b/>
        <sz val="10"/>
        <rFont val="Arial"/>
        <family val="2"/>
        <charset val="204"/>
      </rPr>
      <t>Фотофиксация.</t>
    </r>
  </si>
  <si>
    <r>
      <t xml:space="preserve">Грунтование потолка под покраску акриловой грунтовкой, 2 слоя. </t>
    </r>
    <r>
      <rPr>
        <b/>
        <sz val="10"/>
        <rFont val="Arial"/>
        <family val="2"/>
        <charset val="204"/>
      </rPr>
      <t>Фотофиксация.</t>
    </r>
  </si>
  <si>
    <r>
      <rPr>
        <b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Установка оконно-дверных стеклопакетов</t>
    </r>
    <r>
      <rPr>
        <sz val="10"/>
        <rFont val="Arial"/>
        <family val="2"/>
        <charset val="204"/>
      </rPr>
      <t xml:space="preserve"> в к-те с подоконниками, откосами, порожком на балкон и москит. сетками (</t>
    </r>
    <r>
      <rPr>
        <b/>
        <sz val="10"/>
        <rFont val="Arial"/>
        <family val="2"/>
        <charset val="204"/>
      </rPr>
      <t>по отдельному дог-ру с третьими лицами</t>
    </r>
    <r>
      <rPr>
        <sz val="10"/>
        <rFont val="Arial"/>
        <family val="2"/>
        <charset val="204"/>
      </rPr>
      <t>)</t>
    </r>
  </si>
  <si>
    <r>
      <rPr>
        <b/>
        <sz val="10"/>
        <rFont val="Arial"/>
        <family val="2"/>
        <charset val="204"/>
      </rPr>
      <t xml:space="preserve">3) Замена вход. двери </t>
    </r>
    <r>
      <rPr>
        <sz val="10"/>
        <rFont val="Arial"/>
        <family val="2"/>
        <charset val="204"/>
      </rPr>
      <t>разм. 1,0х2,1 м в квартиру (</t>
    </r>
    <r>
      <rPr>
        <b/>
        <sz val="10"/>
        <rFont val="Arial"/>
        <family val="2"/>
        <charset val="204"/>
      </rPr>
      <t>по отдельному договору с третьими лицами</t>
    </r>
    <r>
      <rPr>
        <sz val="10"/>
        <rFont val="Arial"/>
        <family val="2"/>
        <charset val="204"/>
      </rPr>
      <t>)</t>
    </r>
  </si>
  <si>
    <t>Облицовка стен с/узла керам. плиткой - 25х40 см (в к-те с керам. бордюром и угловым плинтусом)</t>
  </si>
  <si>
    <r>
      <t xml:space="preserve">Обмазочная гидроизоляция пола кухни, всех перегородок, потолка и пола санузла битумной мастикой Технониколь AguaMast.                </t>
    </r>
    <r>
      <rPr>
        <b/>
        <sz val="10"/>
        <rFont val="Arial"/>
        <family val="2"/>
        <charset val="204"/>
      </rPr>
      <t>Фотофиксация гидроизол</t>
    </r>
    <r>
      <rPr>
        <sz val="10"/>
        <rFont val="Arial"/>
        <family val="2"/>
        <charset val="204"/>
      </rPr>
      <t>.</t>
    </r>
  </si>
  <si>
    <r>
      <t xml:space="preserve">Обмазочная гидроизоляция стыка между перекрытием и стенами кухни, санузла и балкона битумной мастикой Технониколь AguaMast.                </t>
    </r>
    <r>
      <rPr>
        <b/>
        <sz val="10"/>
        <rFont val="Arial"/>
        <family val="2"/>
        <charset val="204"/>
      </rPr>
      <t xml:space="preserve">Фотофиксация гидроизол. </t>
    </r>
  </si>
  <si>
    <r>
      <t xml:space="preserve">Выравнивание поверхностей потолка и стен штуктурными растворами на основе цементно-песчаных смесей Weber Vetonit ТТ (по маякам).   </t>
    </r>
    <r>
      <rPr>
        <b/>
        <sz val="10"/>
        <rFont val="Arial"/>
        <family val="2"/>
        <charset val="204"/>
      </rPr>
      <t>Фотофиксация штукатурки</t>
    </r>
    <r>
      <rPr>
        <sz val="10"/>
        <rFont val="Arial"/>
        <family val="2"/>
        <charset val="204"/>
      </rPr>
      <t>.</t>
    </r>
  </si>
  <si>
    <t xml:space="preserve">Усиление дверного проема с/узла разм. 0,7х2,0х0,08 м стальн. уголком № 40x40x3 мм </t>
  </si>
  <si>
    <t>№№ п.п.</t>
  </si>
  <si>
    <t>Обмазка потолка и стен кухни водостойким гидроизоляционным составом глубокого проникновен. (типа Пенетрон) за 2 раза</t>
  </si>
  <si>
    <t xml:space="preserve">I. ЧЕРНОВЫЕ РАБОТЫ:           </t>
  </si>
  <si>
    <t>Время выполн. работ (дней)</t>
  </si>
  <si>
    <t>Потребность в основных производственных ресурсах</t>
  </si>
  <si>
    <t>2) МАЛЯРНЫЕ  РАБОТЫ:</t>
  </si>
  <si>
    <t>Вырезка в ненесущей стене комнаты проема для двери - выхода на кухню (разм. 0,8 м х 2,10 м х 0,08 м)</t>
  </si>
  <si>
    <t>Усиление дверного проема  разм. 0,8х2,1х0,08 м (окантовка проема уголком № 40x40x3 мм )</t>
  </si>
  <si>
    <r>
      <rPr>
        <b/>
        <sz val="10"/>
        <rFont val="Arial"/>
        <family val="2"/>
        <charset val="204"/>
      </rPr>
      <t>4)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Установка одинарной распашной двери</t>
    </r>
    <r>
      <rPr>
        <sz val="10"/>
        <rFont val="Arial"/>
        <family val="2"/>
        <charset val="204"/>
      </rPr>
      <t xml:space="preserve"> разм. 0,70х2,0 м (кухня) и 0,60х1,9 м - с/узел (в комплекте с коробом, фурнитурой и наличниками) строго по Проекту</t>
    </r>
  </si>
  <si>
    <t xml:space="preserve">V. ПЛОТНИЧНЫЕ РАБОТЫ: </t>
  </si>
  <si>
    <r>
      <t xml:space="preserve">Рулонная гидро-звукоизоляция пола кухни и ванной под стяжку (2 слоя 10 мм Шуманет-100Гидро с заведением на стены на высоту 250 мм от уровня чистого пола).              </t>
    </r>
    <r>
      <rPr>
        <b/>
        <sz val="10"/>
        <rFont val="Arial"/>
        <family val="2"/>
        <charset val="204"/>
      </rPr>
      <t>Фотофиксация гидро/звукоизоляции.</t>
    </r>
  </si>
  <si>
    <r>
      <t xml:space="preserve">Рулонная Звукоизоляция пола комнаты и коридора под стяжку (2 слоя - 8 мм "Шуманет-100" с заведением на стены для ликвидации мостиков шума.              </t>
    </r>
    <r>
      <rPr>
        <b/>
        <sz val="10"/>
        <rFont val="Arial"/>
        <family val="2"/>
        <charset val="204"/>
      </rPr>
      <t>Фотофиксация звукоизоляции.</t>
    </r>
  </si>
  <si>
    <r>
      <t xml:space="preserve">Выравнивание пола всех помещений (по маякам) цементно-песчаной стяжкой М300 толщ. 4,0-4,5 см, в соотв. с требованиями Проекта.                          </t>
    </r>
    <r>
      <rPr>
        <b/>
        <sz val="10"/>
        <rFont val="Arial"/>
        <family val="2"/>
        <charset val="204"/>
      </rPr>
      <t>Фотофиксация стяжки</t>
    </r>
    <r>
      <rPr>
        <sz val="10"/>
        <rFont val="Arial"/>
        <family val="2"/>
        <charset val="204"/>
      </rPr>
      <t>.</t>
    </r>
  </si>
  <si>
    <t>Разгрузо-погрузочные работы (с подъемом рем. материалов в квартиру)</t>
  </si>
  <si>
    <t>Нанесение разметки на стенах и потолке под эл.проводку освещения, розеток, выключателей, распред. коробок, эл. щитка и провода заземления ванной</t>
  </si>
  <si>
    <t>к договору подряда от 00.00. 2018 г. №  б/н</t>
  </si>
  <si>
    <t>ВСЕГО:</t>
  </si>
  <si>
    <r>
      <t xml:space="preserve">Техническая документация – </t>
    </r>
    <r>
      <rPr>
        <sz val="10"/>
        <rFont val="Arial"/>
        <family val="2"/>
        <charset val="204"/>
      </rPr>
      <t>монтажные Схемы</t>
    </r>
    <r>
      <rPr>
        <b/>
        <sz val="10"/>
        <rFont val="Arial"/>
        <family val="2"/>
        <charset val="204"/>
      </rPr>
      <t xml:space="preserve">, </t>
    </r>
    <r>
      <rPr>
        <sz val="10"/>
        <rFont val="Arial"/>
        <family val="2"/>
        <charset val="204"/>
      </rPr>
      <t xml:space="preserve">технические условия и инструкции по эксплуатации, ремонту, регламентным работам и обслуживанию инженерного и технологического оборудования и систем; </t>
    </r>
  </si>
  <si>
    <t xml:space="preserve">Сдача-приемка квартиры, передача исполнительской и технической документации, подписание Акта сдачи-приемки работ </t>
  </si>
  <si>
    <t xml:space="preserve">по комплексному ремонту 1-ком. квартиры пл. 31,1 м.кв. в доме серии 1-515/5 (г. Москва)                                     </t>
  </si>
  <si>
    <r>
      <t xml:space="preserve">Скрытые работы - </t>
    </r>
    <r>
      <rPr>
        <sz val="10"/>
        <rFont val="Arial"/>
        <family val="2"/>
        <charset val="204"/>
      </rPr>
      <t>отдельные виды работ (гидро-звукоизоляции пола, закладка труб, проводов и т.п.), недоступные для визуальной оценки, скрываемые последующими работами (оформляются актами на скрытые работы на основании журнала производства скрытых работ, фотофиксации этапов работ (фотоотчетов) и описаний выполненных работ).</t>
    </r>
  </si>
  <si>
    <t xml:space="preserve"> 1) Демонтажные работы (по Проекту перепланировки):</t>
  </si>
  <si>
    <r>
      <t xml:space="preserve"> 2</t>
    </r>
    <r>
      <rPr>
        <b/>
        <sz val="10"/>
        <rFont val="Arial"/>
        <family val="2"/>
        <charset val="204"/>
      </rPr>
      <t>) Монтажные и штукатур. работы (по Проекту планировки):</t>
    </r>
  </si>
  <si>
    <t xml:space="preserve">III. САНТЕХНИЧЕСКИЕ РАБОТЫ (по Проекту перепланировки): </t>
  </si>
  <si>
    <t>Описание видов, объема и содержания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</si>
</sst>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color indexed="8"/>
      <name val="Arial"/>
      <family val="2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12"/>
      <name val="Arial"/>
      <family val="2"/>
      <charset val="204"/>
    </font>
    <font>
      <sz val="10"/>
      <color rgb="FF22222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0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ill="1"/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Font="1" applyBorder="1"/>
    <xf numFmtId="0" fontId="5" fillId="0" borderId="10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0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/>
    <xf numFmtId="2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wrapText="1"/>
    </xf>
    <xf numFmtId="2" fontId="0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2" fontId="0" fillId="0" borderId="1" xfId="0" applyNumberFormat="1" applyFont="1" applyFill="1" applyBorder="1"/>
    <xf numFmtId="2" fontId="6" fillId="0" borderId="1" xfId="0" applyNumberFormat="1" applyFont="1" applyBorder="1"/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2" fontId="3" fillId="0" borderId="1" xfId="0" applyNumberFormat="1" applyFont="1" applyFill="1" applyBorder="1"/>
    <xf numFmtId="2" fontId="4" fillId="0" borderId="1" xfId="0" applyNumberFormat="1" applyFont="1" applyBorder="1" applyAlignment="1"/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Fill="1" applyBorder="1"/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2" fontId="9" fillId="0" borderId="1" xfId="0" applyNumberFormat="1" applyFont="1" applyBorder="1"/>
    <xf numFmtId="2" fontId="9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/>
    <xf numFmtId="2" fontId="9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vertical="distributed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2" fontId="6" fillId="0" borderId="21" xfId="0" applyNumberFormat="1" applyFont="1" applyBorder="1"/>
    <xf numFmtId="0" fontId="0" fillId="0" borderId="22" xfId="0" applyBorder="1"/>
    <xf numFmtId="0" fontId="5" fillId="0" borderId="23" xfId="0" applyFont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1" fillId="0" borderId="6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2" fontId="0" fillId="0" borderId="10" xfId="0" applyNumberFormat="1" applyFont="1" applyBorder="1"/>
    <xf numFmtId="0" fontId="0" fillId="0" borderId="10" xfId="0" applyFont="1" applyBorder="1"/>
    <xf numFmtId="0" fontId="0" fillId="0" borderId="10" xfId="0" applyFont="1" applyFill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5" fillId="0" borderId="1" xfId="0" applyFont="1" applyBorder="1" applyAlignment="1"/>
    <xf numFmtId="2" fontId="0" fillId="0" borderId="12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2" fontId="0" fillId="0" borderId="1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zoomScaleNormal="100" workbookViewId="0">
      <pane ySplit="10" topLeftCell="A146" activePane="bottomLeft" state="frozen"/>
      <selection pane="bottomLeft" activeCell="V14" sqref="V14"/>
    </sheetView>
  </sheetViews>
  <sheetFormatPr defaultColWidth="8.85546875" defaultRowHeight="12.75" x14ac:dyDescent="0.2"/>
  <cols>
    <col min="1" max="1" width="4.7109375" customWidth="1"/>
    <col min="2" max="2" width="29.85546875" customWidth="1"/>
    <col min="3" max="3" width="8" customWidth="1"/>
    <col min="4" max="4" width="6.5703125" customWidth="1"/>
    <col min="5" max="5" width="7.7109375" customWidth="1"/>
    <col min="6" max="6" width="8.42578125" customWidth="1"/>
    <col min="7" max="7" width="9.42578125" customWidth="1"/>
    <col min="8" max="8" width="6.85546875" customWidth="1"/>
    <col min="9" max="9" width="7.85546875" customWidth="1"/>
    <col min="10" max="10" width="6" customWidth="1"/>
    <col min="11" max="11" width="8.85546875" style="1"/>
    <col min="12" max="12" width="9.42578125" customWidth="1"/>
    <col min="13" max="13" width="8.5703125" customWidth="1"/>
    <col min="14" max="14" width="7.85546875" customWidth="1"/>
    <col min="15" max="15" width="15.140625" customWidth="1"/>
  </cols>
  <sheetData>
    <row r="1" spans="1:21" x14ac:dyDescent="0.2">
      <c r="N1" s="7" t="s">
        <v>114</v>
      </c>
    </row>
    <row r="2" spans="1:21" x14ac:dyDescent="0.2">
      <c r="L2" s="6" t="s">
        <v>158</v>
      </c>
    </row>
    <row r="3" spans="1:21" ht="9" customHeight="1" x14ac:dyDescent="0.2">
      <c r="M3" s="6"/>
    </row>
    <row r="4" spans="1:21" ht="15.75" customHeight="1" x14ac:dyDescent="0.2">
      <c r="A4" s="133"/>
      <c r="B4" s="133"/>
      <c r="C4" s="126" t="s">
        <v>167</v>
      </c>
      <c r="D4" s="126"/>
      <c r="E4" s="126"/>
      <c r="F4" s="126"/>
      <c r="G4" s="126"/>
      <c r="H4" s="126"/>
      <c r="I4" s="126"/>
      <c r="J4" s="126"/>
      <c r="K4" s="126"/>
      <c r="L4" s="16"/>
      <c r="M4" s="16"/>
      <c r="N4" s="16"/>
      <c r="O4" s="16"/>
    </row>
    <row r="5" spans="1:21" ht="30.75" customHeight="1" x14ac:dyDescent="0.2">
      <c r="B5" s="127" t="s">
        <v>162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7"/>
      <c r="N5" s="17"/>
      <c r="O5" s="17"/>
    </row>
    <row r="6" spans="1:21" ht="12" customHeight="1" x14ac:dyDescent="0.2">
      <c r="A6" s="10"/>
      <c r="B6" s="10"/>
      <c r="C6" s="9"/>
      <c r="D6" s="9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9"/>
    </row>
    <row r="7" spans="1:21" ht="14.1" customHeight="1" thickBot="1" x14ac:dyDescent="0.25"/>
    <row r="8" spans="1:21" ht="24.75" customHeight="1" x14ac:dyDescent="0.2">
      <c r="A8" s="147" t="s">
        <v>143</v>
      </c>
      <c r="B8" s="141" t="s">
        <v>34</v>
      </c>
      <c r="C8" s="143" t="s">
        <v>10</v>
      </c>
      <c r="D8" s="143"/>
      <c r="E8" s="143"/>
      <c r="F8" s="143"/>
      <c r="G8" s="143"/>
      <c r="H8" s="143"/>
      <c r="I8" s="141" t="s">
        <v>11</v>
      </c>
      <c r="J8" s="138" t="s">
        <v>0</v>
      </c>
      <c r="K8" s="136" t="s">
        <v>2</v>
      </c>
      <c r="L8" s="138" t="s">
        <v>1</v>
      </c>
      <c r="M8" s="141" t="s">
        <v>147</v>
      </c>
      <c r="N8" s="138"/>
      <c r="O8" s="142"/>
    </row>
    <row r="9" spans="1:21" s="8" customFormat="1" ht="38.25" customHeight="1" x14ac:dyDescent="0.2">
      <c r="A9" s="148"/>
      <c r="B9" s="139"/>
      <c r="C9" s="107" t="s">
        <v>35</v>
      </c>
      <c r="D9" s="137" t="s">
        <v>19</v>
      </c>
      <c r="E9" s="14" t="s">
        <v>20</v>
      </c>
      <c r="F9" s="14" t="s">
        <v>17</v>
      </c>
      <c r="G9" s="11" t="s">
        <v>31</v>
      </c>
      <c r="H9" s="107" t="s">
        <v>18</v>
      </c>
      <c r="I9" s="107"/>
      <c r="J9" s="139"/>
      <c r="K9" s="137"/>
      <c r="L9" s="139"/>
      <c r="M9" s="107" t="s">
        <v>146</v>
      </c>
      <c r="N9" s="139" t="s">
        <v>112</v>
      </c>
      <c r="O9" s="144" t="s">
        <v>113</v>
      </c>
    </row>
    <row r="10" spans="1:21" ht="36.75" customHeight="1" thickBot="1" x14ac:dyDescent="0.25">
      <c r="A10" s="149"/>
      <c r="B10" s="140"/>
      <c r="C10" s="134"/>
      <c r="D10" s="135"/>
      <c r="E10" s="134" t="s">
        <v>55</v>
      </c>
      <c r="F10" s="135"/>
      <c r="G10" s="19" t="s">
        <v>56</v>
      </c>
      <c r="H10" s="134"/>
      <c r="I10" s="134"/>
      <c r="J10" s="140"/>
      <c r="K10" s="135"/>
      <c r="L10" s="140"/>
      <c r="M10" s="134"/>
      <c r="N10" s="140"/>
      <c r="O10" s="145"/>
      <c r="U10" s="5"/>
    </row>
    <row r="11" spans="1:21" ht="38.25" customHeight="1" x14ac:dyDescent="0.2">
      <c r="A11" s="64"/>
      <c r="B11" s="119" t="s">
        <v>145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1"/>
      <c r="M11" s="125"/>
      <c r="N11" s="125"/>
      <c r="O11" s="65"/>
    </row>
    <row r="12" spans="1:21" ht="24" customHeight="1" x14ac:dyDescent="0.2">
      <c r="A12" s="64"/>
      <c r="B12" s="21" t="s">
        <v>164</v>
      </c>
      <c r="C12" s="122"/>
      <c r="D12" s="123"/>
      <c r="E12" s="123"/>
      <c r="F12" s="123"/>
      <c r="G12" s="123"/>
      <c r="H12" s="123"/>
      <c r="I12" s="123"/>
      <c r="J12" s="123"/>
      <c r="K12" s="123"/>
      <c r="L12" s="124"/>
      <c r="M12" s="91"/>
      <c r="N12" s="92"/>
      <c r="O12" s="65"/>
    </row>
    <row r="13" spans="1:21" s="2" customFormat="1" ht="51" x14ac:dyDescent="0.2">
      <c r="A13" s="66">
        <v>1</v>
      </c>
      <c r="B13" s="24" t="s">
        <v>77</v>
      </c>
      <c r="C13" s="25"/>
      <c r="D13" s="25"/>
      <c r="E13" s="26">
        <f>1.51*2.48*0.08</f>
        <v>0.29958400000000002</v>
      </c>
      <c r="F13" s="25"/>
      <c r="G13" s="25"/>
      <c r="H13" s="25"/>
      <c r="I13" s="26">
        <f t="shared" ref="I13:I31" si="0">SUM(C13:H13)</f>
        <v>0.29958400000000002</v>
      </c>
      <c r="J13" s="27" t="s">
        <v>21</v>
      </c>
      <c r="K13" s="26"/>
      <c r="L13" s="26"/>
      <c r="M13" s="82"/>
      <c r="N13" s="83"/>
      <c r="O13" s="67"/>
    </row>
    <row r="14" spans="1:21" s="2" customFormat="1" ht="51" x14ac:dyDescent="0.2">
      <c r="A14" s="66">
        <v>2</v>
      </c>
      <c r="B14" s="24" t="s">
        <v>78</v>
      </c>
      <c r="C14" s="26"/>
      <c r="D14" s="26"/>
      <c r="E14" s="23"/>
      <c r="F14" s="26">
        <f>(0.89+1.44)*2.48*0.08</f>
        <v>0.46227200000000002</v>
      </c>
      <c r="G14" s="26"/>
      <c r="H14" s="26"/>
      <c r="I14" s="26">
        <f t="shared" si="0"/>
        <v>0.46227200000000002</v>
      </c>
      <c r="J14" s="27" t="s">
        <v>21</v>
      </c>
      <c r="K14" s="26"/>
      <c r="L14" s="26"/>
      <c r="M14" s="82"/>
      <c r="N14" s="83"/>
      <c r="O14" s="67"/>
    </row>
    <row r="15" spans="1:21" s="2" customFormat="1" ht="42.95" customHeight="1" x14ac:dyDescent="0.2">
      <c r="A15" s="66">
        <v>3</v>
      </c>
      <c r="B15" s="24" t="s">
        <v>79</v>
      </c>
      <c r="C15" s="25"/>
      <c r="D15" s="25"/>
      <c r="E15" s="26">
        <f>0.89*2.48*0.08</f>
        <v>0.17657599999999998</v>
      </c>
      <c r="F15" s="26"/>
      <c r="G15" s="26"/>
      <c r="H15" s="26"/>
      <c r="I15" s="26">
        <f t="shared" si="0"/>
        <v>0.17657599999999998</v>
      </c>
      <c r="J15" s="27" t="s">
        <v>21</v>
      </c>
      <c r="K15" s="26"/>
      <c r="L15" s="26"/>
      <c r="M15" s="82"/>
      <c r="N15" s="83"/>
      <c r="O15" s="67"/>
    </row>
    <row r="16" spans="1:21" s="2" customFormat="1" ht="25.5" x14ac:dyDescent="0.2">
      <c r="A16" s="66">
        <v>4</v>
      </c>
      <c r="B16" s="28" t="s">
        <v>22</v>
      </c>
      <c r="C16" s="25"/>
      <c r="D16" s="26">
        <v>1</v>
      </c>
      <c r="E16" s="25"/>
      <c r="F16" s="25"/>
      <c r="G16" s="25"/>
      <c r="H16" s="25"/>
      <c r="I16" s="26">
        <f t="shared" si="0"/>
        <v>1</v>
      </c>
      <c r="J16" s="29" t="s">
        <v>4</v>
      </c>
      <c r="K16" s="26"/>
      <c r="L16" s="26"/>
      <c r="M16" s="82"/>
      <c r="N16" s="83"/>
      <c r="O16" s="67"/>
    </row>
    <row r="17" spans="1:17" s="2" customFormat="1" ht="51" x14ac:dyDescent="0.2">
      <c r="A17" s="66">
        <v>5</v>
      </c>
      <c r="B17" s="24" t="s">
        <v>80</v>
      </c>
      <c r="C17" s="25"/>
      <c r="D17" s="25"/>
      <c r="E17" s="26">
        <f>1.46*2.48*0.08</f>
        <v>0.28966400000000003</v>
      </c>
      <c r="F17" s="25"/>
      <c r="G17" s="25"/>
      <c r="H17" s="25"/>
      <c r="I17" s="26">
        <f t="shared" si="0"/>
        <v>0.28966400000000003</v>
      </c>
      <c r="J17" s="27" t="s">
        <v>21</v>
      </c>
      <c r="K17" s="26"/>
      <c r="L17" s="26"/>
      <c r="M17" s="82"/>
      <c r="N17" s="83"/>
      <c r="O17" s="67"/>
    </row>
    <row r="18" spans="1:17" s="2" customFormat="1" ht="59.45" customHeight="1" x14ac:dyDescent="0.2">
      <c r="A18" s="66">
        <v>6</v>
      </c>
      <c r="B18" s="24" t="s">
        <v>149</v>
      </c>
      <c r="C18" s="26">
        <f>0.8*2.1*0.08</f>
        <v>0.13440000000000002</v>
      </c>
      <c r="D18" s="25"/>
      <c r="E18" s="23"/>
      <c r="F18" s="25"/>
      <c r="G18" s="25"/>
      <c r="H18" s="25"/>
      <c r="I18" s="26">
        <f t="shared" si="0"/>
        <v>0.13440000000000002</v>
      </c>
      <c r="J18" s="27" t="s">
        <v>21</v>
      </c>
      <c r="K18" s="26"/>
      <c r="L18" s="26"/>
      <c r="M18" s="82"/>
      <c r="N18" s="83"/>
      <c r="O18" s="68"/>
    </row>
    <row r="19" spans="1:17" s="2" customFormat="1" ht="40.5" customHeight="1" x14ac:dyDescent="0.2">
      <c r="A19" s="66">
        <v>7</v>
      </c>
      <c r="B19" s="30" t="s">
        <v>150</v>
      </c>
      <c r="C19" s="31">
        <f>(2.1*2+0.8*2)+(2.1*2+0.8*2)</f>
        <v>11.600000000000001</v>
      </c>
      <c r="D19" s="25"/>
      <c r="E19" s="23"/>
      <c r="F19" s="25"/>
      <c r="G19" s="25"/>
      <c r="H19" s="25"/>
      <c r="I19" s="26">
        <f t="shared" si="0"/>
        <v>11.600000000000001</v>
      </c>
      <c r="J19" s="27" t="s">
        <v>12</v>
      </c>
      <c r="K19" s="26"/>
      <c r="L19" s="26"/>
      <c r="M19" s="82"/>
      <c r="N19" s="83"/>
      <c r="O19" s="68"/>
    </row>
    <row r="20" spans="1:17" ht="69" customHeight="1" x14ac:dyDescent="0.2">
      <c r="A20" s="66">
        <v>8</v>
      </c>
      <c r="B20" s="32" t="s">
        <v>94</v>
      </c>
      <c r="C20" s="20"/>
      <c r="D20" s="20"/>
      <c r="E20" s="26">
        <f>0.7*0.55*0.08</f>
        <v>3.0800000000000001E-2</v>
      </c>
      <c r="F20" s="20"/>
      <c r="G20" s="20"/>
      <c r="H20" s="20"/>
      <c r="I20" s="26">
        <f t="shared" si="0"/>
        <v>3.0800000000000001E-2</v>
      </c>
      <c r="J20" s="27" t="s">
        <v>21</v>
      </c>
      <c r="K20" s="26"/>
      <c r="L20" s="26"/>
      <c r="M20" s="82"/>
      <c r="N20" s="83"/>
      <c r="O20" s="69"/>
      <c r="P20" s="132"/>
      <c r="Q20" s="132"/>
    </row>
    <row r="21" spans="1:17" ht="33" customHeight="1" x14ac:dyDescent="0.2">
      <c r="A21" s="66">
        <v>9</v>
      </c>
      <c r="B21" s="32" t="s">
        <v>91</v>
      </c>
      <c r="C21" s="33">
        <v>2</v>
      </c>
      <c r="D21" s="33">
        <v>1</v>
      </c>
      <c r="E21" s="26"/>
      <c r="F21" s="20"/>
      <c r="G21" s="20"/>
      <c r="H21" s="20"/>
      <c r="I21" s="26">
        <f t="shared" si="0"/>
        <v>3</v>
      </c>
      <c r="J21" s="27" t="s">
        <v>92</v>
      </c>
      <c r="K21" s="26"/>
      <c r="L21" s="26"/>
      <c r="M21" s="82"/>
      <c r="N21" s="83"/>
      <c r="O21" s="69"/>
    </row>
    <row r="22" spans="1:17" s="2" customFormat="1" ht="40.5" customHeight="1" x14ac:dyDescent="0.2">
      <c r="A22" s="66">
        <v>10</v>
      </c>
      <c r="B22" s="32" t="s">
        <v>57</v>
      </c>
      <c r="C22" s="31">
        <v>17.5</v>
      </c>
      <c r="D22" s="31">
        <v>5.6</v>
      </c>
      <c r="E22" s="31">
        <v>2.2000000000000002</v>
      </c>
      <c r="F22" s="31">
        <v>1.1000000000000001</v>
      </c>
      <c r="G22" s="31">
        <v>4.7</v>
      </c>
      <c r="H22" s="31">
        <v>0.7</v>
      </c>
      <c r="I22" s="26">
        <f t="shared" si="0"/>
        <v>31.8</v>
      </c>
      <c r="J22" s="29" t="s">
        <v>3</v>
      </c>
      <c r="K22" s="26"/>
      <c r="L22" s="26"/>
      <c r="M22" s="82"/>
      <c r="N22" s="83"/>
      <c r="O22" s="67"/>
    </row>
    <row r="23" spans="1:17" s="2" customFormat="1" ht="51" x14ac:dyDescent="0.2">
      <c r="A23" s="66">
        <v>11</v>
      </c>
      <c r="B23" s="32" t="s">
        <v>25</v>
      </c>
      <c r="C23" s="31">
        <f>(5.71*2+3.01)*2.48</f>
        <v>35.7864</v>
      </c>
      <c r="D23" s="31">
        <f>(2.73*2+2.3)*2.48</f>
        <v>19.244799999999998</v>
      </c>
      <c r="E23" s="84">
        <f>1.9*2*2.48</f>
        <v>9.4239999999999995</v>
      </c>
      <c r="F23" s="84"/>
      <c r="G23" s="31">
        <f>(2.51+0.16+0.06)*2.48</f>
        <v>6.7703999999999995</v>
      </c>
      <c r="H23" s="31">
        <f>(3.01*2.6)-(2.83*1.56)</f>
        <v>3.4111999999999991</v>
      </c>
      <c r="I23" s="26">
        <f t="shared" si="0"/>
        <v>74.63679999999998</v>
      </c>
      <c r="J23" s="29" t="s">
        <v>3</v>
      </c>
      <c r="K23" s="26"/>
      <c r="L23" s="26"/>
      <c r="M23" s="82"/>
      <c r="N23" s="83"/>
      <c r="O23" s="67"/>
    </row>
    <row r="24" spans="1:17" s="2" customFormat="1" x14ac:dyDescent="0.2">
      <c r="A24" s="66">
        <v>12</v>
      </c>
      <c r="B24" s="32" t="s">
        <v>16</v>
      </c>
      <c r="C24" s="31">
        <v>17.5</v>
      </c>
      <c r="D24" s="31">
        <v>5.6</v>
      </c>
      <c r="E24" s="34"/>
      <c r="F24" s="34"/>
      <c r="G24" s="31">
        <v>4.7</v>
      </c>
      <c r="H24" s="34"/>
      <c r="I24" s="26">
        <f t="shared" si="0"/>
        <v>27.8</v>
      </c>
      <c r="J24" s="29" t="s">
        <v>3</v>
      </c>
      <c r="K24" s="26"/>
      <c r="L24" s="26"/>
      <c r="M24" s="82"/>
      <c r="N24" s="83"/>
      <c r="O24" s="67"/>
    </row>
    <row r="25" spans="1:17" s="2" customFormat="1" x14ac:dyDescent="0.2">
      <c r="A25" s="66">
        <v>13</v>
      </c>
      <c r="B25" s="35" t="s">
        <v>5</v>
      </c>
      <c r="C25" s="33"/>
      <c r="D25" s="33"/>
      <c r="E25" s="26">
        <v>1</v>
      </c>
      <c r="F25" s="33"/>
      <c r="G25" s="33"/>
      <c r="H25" s="23"/>
      <c r="I25" s="26">
        <f t="shared" si="0"/>
        <v>1</v>
      </c>
      <c r="J25" s="29" t="s">
        <v>6</v>
      </c>
      <c r="K25" s="26"/>
      <c r="L25" s="26"/>
      <c r="M25" s="82"/>
      <c r="N25" s="83"/>
      <c r="O25" s="67"/>
    </row>
    <row r="26" spans="1:17" s="2" customFormat="1" x14ac:dyDescent="0.2">
      <c r="A26" s="66">
        <v>14</v>
      </c>
      <c r="B26" s="35" t="s">
        <v>7</v>
      </c>
      <c r="C26" s="33"/>
      <c r="D26" s="33"/>
      <c r="E26" s="33"/>
      <c r="F26" s="26">
        <v>1</v>
      </c>
      <c r="G26" s="33"/>
      <c r="H26" s="23"/>
      <c r="I26" s="26">
        <f t="shared" si="0"/>
        <v>1</v>
      </c>
      <c r="J26" s="29" t="s">
        <v>4</v>
      </c>
      <c r="K26" s="26"/>
      <c r="L26" s="26"/>
      <c r="M26" s="82"/>
      <c r="N26" s="83"/>
      <c r="O26" s="67"/>
    </row>
    <row r="27" spans="1:17" s="2" customFormat="1" ht="14.45" customHeight="1" x14ac:dyDescent="0.2">
      <c r="A27" s="66">
        <v>15</v>
      </c>
      <c r="B27" s="35" t="s">
        <v>8</v>
      </c>
      <c r="C27" s="33"/>
      <c r="D27" s="33"/>
      <c r="E27" s="26">
        <v>1</v>
      </c>
      <c r="F27" s="33"/>
      <c r="G27" s="33"/>
      <c r="H27" s="23"/>
      <c r="I27" s="26">
        <f t="shared" si="0"/>
        <v>1</v>
      </c>
      <c r="J27" s="29" t="s">
        <v>6</v>
      </c>
      <c r="K27" s="26"/>
      <c r="L27" s="26"/>
      <c r="M27" s="82"/>
      <c r="N27" s="83"/>
      <c r="O27" s="67"/>
    </row>
    <row r="28" spans="1:17" s="2" customFormat="1" ht="26.1" customHeight="1" x14ac:dyDescent="0.2">
      <c r="A28" s="66">
        <v>16</v>
      </c>
      <c r="B28" s="32" t="s">
        <v>26</v>
      </c>
      <c r="C28" s="33"/>
      <c r="D28" s="26">
        <v>1</v>
      </c>
      <c r="E28" s="26">
        <v>1</v>
      </c>
      <c r="F28" s="33"/>
      <c r="G28" s="33"/>
      <c r="H28" s="23"/>
      <c r="I28" s="26">
        <f t="shared" si="0"/>
        <v>2</v>
      </c>
      <c r="J28" s="29" t="s">
        <v>6</v>
      </c>
      <c r="K28" s="26"/>
      <c r="L28" s="26"/>
      <c r="M28" s="82"/>
      <c r="N28" s="83"/>
      <c r="O28" s="67"/>
    </row>
    <row r="29" spans="1:17" s="2" customFormat="1" ht="14.1" customHeight="1" x14ac:dyDescent="0.2">
      <c r="A29" s="66">
        <v>17</v>
      </c>
      <c r="B29" s="35" t="s">
        <v>15</v>
      </c>
      <c r="C29" s="33"/>
      <c r="D29" s="26">
        <v>1</v>
      </c>
      <c r="E29" s="26"/>
      <c r="F29" s="33"/>
      <c r="G29" s="33"/>
      <c r="H29" s="23"/>
      <c r="I29" s="26">
        <f t="shared" si="0"/>
        <v>1</v>
      </c>
      <c r="J29" s="29" t="s">
        <v>6</v>
      </c>
      <c r="K29" s="26"/>
      <c r="L29" s="26"/>
      <c r="M29" s="82"/>
      <c r="N29" s="83"/>
      <c r="O29" s="67"/>
    </row>
    <row r="30" spans="1:17" s="2" customFormat="1" ht="27.95" customHeight="1" x14ac:dyDescent="0.2">
      <c r="A30" s="66">
        <v>18</v>
      </c>
      <c r="B30" s="32" t="s">
        <v>27</v>
      </c>
      <c r="C30" s="25"/>
      <c r="D30" s="26">
        <f>(2.135*2)+(1*1.6)</f>
        <v>5.8699999999999992</v>
      </c>
      <c r="E30" s="84">
        <f>(1.51*2)+(1.9*2)</f>
        <v>6.82</v>
      </c>
      <c r="F30" s="84"/>
      <c r="G30" s="25"/>
      <c r="H30" s="25"/>
      <c r="I30" s="26">
        <f t="shared" si="0"/>
        <v>12.69</v>
      </c>
      <c r="J30" s="29" t="s">
        <v>3</v>
      </c>
      <c r="K30" s="26"/>
      <c r="L30" s="26"/>
      <c r="M30" s="82"/>
      <c r="N30" s="83"/>
      <c r="O30" s="67"/>
    </row>
    <row r="31" spans="1:17" s="2" customFormat="1" ht="37.5" customHeight="1" x14ac:dyDescent="0.2">
      <c r="A31" s="66">
        <v>19</v>
      </c>
      <c r="B31" s="32" t="s">
        <v>121</v>
      </c>
      <c r="C31" s="36">
        <f>17.5*0.045</f>
        <v>0.78749999999999998</v>
      </c>
      <c r="D31" s="26">
        <f>5.6*0.043</f>
        <v>0.24079999999999996</v>
      </c>
      <c r="E31" s="84">
        <f>1.9*2.51*0.04</f>
        <v>0.19075999999999999</v>
      </c>
      <c r="F31" s="84"/>
      <c r="G31" s="36">
        <f>4.7*0.045</f>
        <v>0.21149999999999999</v>
      </c>
      <c r="H31" s="37"/>
      <c r="I31" s="26">
        <f t="shared" si="0"/>
        <v>1.4305600000000001</v>
      </c>
      <c r="J31" s="27" t="s">
        <v>21</v>
      </c>
      <c r="K31" s="26"/>
      <c r="L31" s="26"/>
      <c r="M31" s="82"/>
      <c r="N31" s="83"/>
      <c r="O31" s="67"/>
    </row>
    <row r="32" spans="1:17" s="2" customFormat="1" ht="15" x14ac:dyDescent="0.2">
      <c r="A32" s="66"/>
      <c r="B32" s="93" t="s">
        <v>14</v>
      </c>
      <c r="C32" s="94"/>
      <c r="D32" s="94"/>
      <c r="E32" s="94"/>
      <c r="F32" s="94"/>
      <c r="G32" s="94"/>
      <c r="H32" s="94"/>
      <c r="I32" s="94"/>
      <c r="J32" s="94"/>
      <c r="K32" s="95"/>
      <c r="L32" s="40">
        <f>SUM(L13:L31)</f>
        <v>0</v>
      </c>
      <c r="M32" s="82"/>
      <c r="N32" s="83"/>
      <c r="O32" s="70"/>
    </row>
    <row r="33" spans="1:16" s="2" customFormat="1" ht="34.5" customHeight="1" x14ac:dyDescent="0.2">
      <c r="A33" s="66"/>
      <c r="B33" s="13" t="s">
        <v>165</v>
      </c>
      <c r="C33" s="82"/>
      <c r="D33" s="98"/>
      <c r="E33" s="98"/>
      <c r="F33" s="98"/>
      <c r="G33" s="98"/>
      <c r="H33" s="98"/>
      <c r="I33" s="98"/>
      <c r="J33" s="98"/>
      <c r="K33" s="98"/>
      <c r="L33" s="83"/>
      <c r="M33" s="107"/>
      <c r="N33" s="107"/>
      <c r="O33" s="68"/>
    </row>
    <row r="34" spans="1:16" s="2" customFormat="1" ht="129" customHeight="1" x14ac:dyDescent="0.2">
      <c r="A34" s="66">
        <v>20</v>
      </c>
      <c r="B34" s="24" t="s">
        <v>111</v>
      </c>
      <c r="C34" s="31"/>
      <c r="D34" s="31">
        <f>0.86*2.48*0.08</f>
        <v>0.170624</v>
      </c>
      <c r="E34" s="110"/>
      <c r="F34" s="111"/>
      <c r="G34" s="31"/>
      <c r="H34" s="41"/>
      <c r="I34" s="26">
        <f t="shared" ref="I34:I44" si="1">SUM(C34:H34)</f>
        <v>0.170624</v>
      </c>
      <c r="J34" s="29" t="s">
        <v>21</v>
      </c>
      <c r="K34" s="26"/>
      <c r="L34" s="26"/>
      <c r="M34" s="104"/>
      <c r="N34" s="106"/>
      <c r="O34" s="68"/>
    </row>
    <row r="35" spans="1:16" s="2" customFormat="1" ht="81.75" customHeight="1" x14ac:dyDescent="0.2">
      <c r="A35" s="66">
        <v>21</v>
      </c>
      <c r="B35" s="24" t="s">
        <v>110</v>
      </c>
      <c r="C35" s="31"/>
      <c r="D35" s="31"/>
      <c r="E35" s="110"/>
      <c r="F35" s="111"/>
      <c r="G35" s="31">
        <f>(2.77*2.48*0.08)-(0.7*1.9*0.08)</f>
        <v>0.44316800000000006</v>
      </c>
      <c r="H35" s="42"/>
      <c r="I35" s="26">
        <f t="shared" si="1"/>
        <v>0.44316800000000006</v>
      </c>
      <c r="J35" s="29" t="s">
        <v>21</v>
      </c>
      <c r="K35" s="26"/>
      <c r="L35" s="26"/>
      <c r="M35" s="104"/>
      <c r="N35" s="106"/>
      <c r="O35" s="68"/>
    </row>
    <row r="36" spans="1:16" s="2" customFormat="1" ht="42.75" customHeight="1" x14ac:dyDescent="0.2">
      <c r="A36" s="66">
        <v>22</v>
      </c>
      <c r="B36" s="30" t="s">
        <v>142</v>
      </c>
      <c r="C36" s="23"/>
      <c r="D36" s="25"/>
      <c r="E36" s="113">
        <f>(2*2+0.7*2)+(2*2+0.7*2)</f>
        <v>10.8</v>
      </c>
      <c r="F36" s="114"/>
      <c r="G36" s="25"/>
      <c r="H36" s="25"/>
      <c r="I36" s="26">
        <f>SUM(D36:H36)</f>
        <v>10.8</v>
      </c>
      <c r="J36" s="27" t="s">
        <v>12</v>
      </c>
      <c r="K36" s="26"/>
      <c r="L36" s="26"/>
      <c r="M36" s="104"/>
      <c r="N36" s="106"/>
      <c r="O36" s="68"/>
    </row>
    <row r="37" spans="1:16" s="2" customFormat="1" ht="67.5" customHeight="1" x14ac:dyDescent="0.2">
      <c r="A37" s="66">
        <v>23</v>
      </c>
      <c r="B37" s="32" t="s">
        <v>81</v>
      </c>
      <c r="C37" s="31">
        <f>0.62*2.48*0.08</f>
        <v>0.12300800000000001</v>
      </c>
      <c r="D37" s="25"/>
      <c r="E37" s="82"/>
      <c r="F37" s="83"/>
      <c r="G37" s="25"/>
      <c r="H37" s="39"/>
      <c r="I37" s="26">
        <f t="shared" si="1"/>
        <v>0.12300800000000001</v>
      </c>
      <c r="J37" s="29" t="s">
        <v>21</v>
      </c>
      <c r="K37" s="26"/>
      <c r="L37" s="26"/>
      <c r="M37" s="104"/>
      <c r="N37" s="106"/>
      <c r="O37" s="68"/>
    </row>
    <row r="38" spans="1:16" s="2" customFormat="1" ht="84.75" customHeight="1" x14ac:dyDescent="0.2">
      <c r="A38" s="66">
        <v>24</v>
      </c>
      <c r="B38" s="32" t="s">
        <v>140</v>
      </c>
      <c r="C38" s="31">
        <f>(2.73*0.25*2)+(2.3*0.25*2)</f>
        <v>2.5149999999999997</v>
      </c>
      <c r="D38" s="22"/>
      <c r="E38" s="115">
        <f>(1.9*0.25*2)+(2.77*0.25*2)</f>
        <v>2.335</v>
      </c>
      <c r="F38" s="116"/>
      <c r="G38" s="22"/>
      <c r="H38" s="43">
        <f>(3.01*0.25*2)+(0.63*0.25*2)</f>
        <v>1.8199999999999998</v>
      </c>
      <c r="I38" s="26">
        <f t="shared" si="1"/>
        <v>6.67</v>
      </c>
      <c r="J38" s="29" t="s">
        <v>3</v>
      </c>
      <c r="K38" s="26"/>
      <c r="L38" s="26"/>
      <c r="M38" s="104"/>
      <c r="N38" s="106"/>
      <c r="O38" s="68"/>
      <c r="P38" s="4"/>
    </row>
    <row r="39" spans="1:16" s="2" customFormat="1" ht="59.25" customHeight="1" x14ac:dyDescent="0.2">
      <c r="A39" s="66">
        <v>25</v>
      </c>
      <c r="B39" s="32" t="s">
        <v>144</v>
      </c>
      <c r="C39" s="31"/>
      <c r="D39" s="22">
        <f>5.6+(2.73*2+2.3)*2.48</f>
        <v>24.844799999999999</v>
      </c>
      <c r="E39" s="115"/>
      <c r="F39" s="116"/>
      <c r="G39" s="22"/>
      <c r="H39" s="43"/>
      <c r="I39" s="26">
        <f t="shared" si="1"/>
        <v>24.844799999999999</v>
      </c>
      <c r="J39" s="29" t="s">
        <v>3</v>
      </c>
      <c r="K39" s="26"/>
      <c r="L39" s="26"/>
      <c r="M39" s="104"/>
      <c r="N39" s="106"/>
      <c r="O39" s="68"/>
    </row>
    <row r="40" spans="1:16" s="2" customFormat="1" ht="73.5" customHeight="1" x14ac:dyDescent="0.2">
      <c r="A40" s="66">
        <v>26</v>
      </c>
      <c r="B40" s="32" t="s">
        <v>139</v>
      </c>
      <c r="C40" s="25"/>
      <c r="D40" s="22">
        <v>5.6</v>
      </c>
      <c r="E40" s="113">
        <f>(1.9*2.48*2)+(2.77*2.48*2)+(4.8*2)</f>
        <v>32.763199999999998</v>
      </c>
      <c r="F40" s="114"/>
      <c r="G40" s="25"/>
      <c r="H40" s="39"/>
      <c r="I40" s="26">
        <f t="shared" si="1"/>
        <v>38.363199999999999</v>
      </c>
      <c r="J40" s="29" t="s">
        <v>3</v>
      </c>
      <c r="K40" s="26"/>
      <c r="L40" s="26"/>
      <c r="M40" s="104"/>
      <c r="N40" s="106"/>
      <c r="O40" s="67"/>
    </row>
    <row r="41" spans="1:16" s="2" customFormat="1" ht="93.75" customHeight="1" x14ac:dyDescent="0.2">
      <c r="A41" s="66">
        <v>27</v>
      </c>
      <c r="B41" s="32" t="s">
        <v>153</v>
      </c>
      <c r="C41" s="45"/>
      <c r="D41" s="22">
        <f>5.6+(2.73*0.25*2)+(2.3*0.25*2)</f>
        <v>8.1150000000000002</v>
      </c>
      <c r="E41" s="113">
        <f>4.8+(1.9*0.25*2)+(2.77*0.25*2)</f>
        <v>7.1349999999999998</v>
      </c>
      <c r="F41" s="114"/>
      <c r="G41" s="36"/>
      <c r="H41" s="46"/>
      <c r="I41" s="26">
        <f t="shared" si="1"/>
        <v>15.25</v>
      </c>
      <c r="J41" s="29" t="s">
        <v>3</v>
      </c>
      <c r="K41" s="26"/>
      <c r="L41" s="26"/>
      <c r="M41" s="104"/>
      <c r="N41" s="106"/>
      <c r="O41" s="71"/>
    </row>
    <row r="42" spans="1:16" s="2" customFormat="1" ht="97.5" customHeight="1" x14ac:dyDescent="0.2">
      <c r="A42" s="66">
        <v>28</v>
      </c>
      <c r="B42" s="32" t="s">
        <v>154</v>
      </c>
      <c r="C42" s="45">
        <f>17.5+(5.71*0.25*2)+(3.01*0.25*2)</f>
        <v>21.86</v>
      </c>
      <c r="D42" s="26"/>
      <c r="E42" s="113"/>
      <c r="F42" s="114"/>
      <c r="G42" s="36">
        <f>3.2+(2.77*0.25*2)+(1.38*0.25*2)</f>
        <v>5.2750000000000004</v>
      </c>
      <c r="H42" s="46"/>
      <c r="I42" s="26">
        <f t="shared" ref="I42" si="2">SUM(C42:H42)</f>
        <v>27.134999999999998</v>
      </c>
      <c r="J42" s="29" t="s">
        <v>3</v>
      </c>
      <c r="K42" s="26"/>
      <c r="L42" s="26"/>
      <c r="M42" s="104"/>
      <c r="N42" s="106"/>
      <c r="O42" s="71"/>
    </row>
    <row r="43" spans="1:16" s="2" customFormat="1" ht="81.75" customHeight="1" x14ac:dyDescent="0.2">
      <c r="A43" s="66">
        <v>29</v>
      </c>
      <c r="B43" s="24" t="s">
        <v>155</v>
      </c>
      <c r="C43" s="36">
        <v>17.5</v>
      </c>
      <c r="D43" s="26">
        <v>5.6</v>
      </c>
      <c r="E43" s="84">
        <v>4.8</v>
      </c>
      <c r="F43" s="84"/>
      <c r="G43" s="36">
        <v>3.2</v>
      </c>
      <c r="H43" s="48">
        <v>0.7</v>
      </c>
      <c r="I43" s="26">
        <f t="shared" ref="I43" si="3">SUM(C43:H43)</f>
        <v>31.8</v>
      </c>
      <c r="J43" s="29" t="s">
        <v>3</v>
      </c>
      <c r="K43" s="26"/>
      <c r="L43" s="26"/>
      <c r="M43" s="104"/>
      <c r="N43" s="106"/>
      <c r="O43" s="68"/>
    </row>
    <row r="44" spans="1:16" s="2" customFormat="1" ht="81.75" customHeight="1" x14ac:dyDescent="0.2">
      <c r="A44" s="66">
        <v>30</v>
      </c>
      <c r="B44" s="24" t="s">
        <v>141</v>
      </c>
      <c r="C44" s="31">
        <f>(5.71*2+3.01)*2.48</f>
        <v>35.7864</v>
      </c>
      <c r="D44" s="31">
        <f>(2.73*2+2.3)*2.48</f>
        <v>19.244799999999998</v>
      </c>
      <c r="E44" s="84">
        <f>(2.51*2*2.48)+(1.9*2.48)</f>
        <v>17.1616</v>
      </c>
      <c r="F44" s="84"/>
      <c r="G44" s="31">
        <f>(2.51+0.16+0.06)*2.48</f>
        <v>6.7703999999999995</v>
      </c>
      <c r="H44" s="46"/>
      <c r="I44" s="26">
        <f t="shared" si="1"/>
        <v>78.963200000000001</v>
      </c>
      <c r="J44" s="27" t="s">
        <v>3</v>
      </c>
      <c r="K44" s="26"/>
      <c r="L44" s="26"/>
      <c r="M44" s="104"/>
      <c r="N44" s="106"/>
      <c r="O44" s="68"/>
    </row>
    <row r="45" spans="1:16" s="2" customFormat="1" ht="16.5" customHeight="1" x14ac:dyDescent="0.2">
      <c r="A45" s="66"/>
      <c r="B45" s="93" t="s">
        <v>14</v>
      </c>
      <c r="C45" s="94"/>
      <c r="D45" s="94"/>
      <c r="E45" s="94"/>
      <c r="F45" s="94"/>
      <c r="G45" s="94"/>
      <c r="H45" s="94"/>
      <c r="I45" s="94"/>
      <c r="J45" s="94"/>
      <c r="K45" s="95"/>
      <c r="L45" s="40">
        <f>SUM(L34:L44)</f>
        <v>0</v>
      </c>
      <c r="M45" s="104"/>
      <c r="N45" s="106"/>
      <c r="O45" s="67"/>
    </row>
    <row r="46" spans="1:16" s="2" customFormat="1" ht="25.5" x14ac:dyDescent="0.2">
      <c r="A46" s="66"/>
      <c r="B46" s="61" t="s">
        <v>122</v>
      </c>
      <c r="C46" s="122"/>
      <c r="D46" s="123"/>
      <c r="E46" s="123"/>
      <c r="F46" s="123"/>
      <c r="G46" s="123"/>
      <c r="H46" s="123"/>
      <c r="I46" s="123"/>
      <c r="J46" s="123"/>
      <c r="K46" s="123"/>
      <c r="L46" s="124"/>
      <c r="M46" s="107"/>
      <c r="N46" s="107"/>
      <c r="O46" s="68"/>
    </row>
    <row r="47" spans="1:16" s="2" customFormat="1" ht="45.75" customHeight="1" x14ac:dyDescent="0.2">
      <c r="A47" s="66">
        <v>31</v>
      </c>
      <c r="B47" s="32" t="s">
        <v>85</v>
      </c>
      <c r="C47" s="26">
        <v>1</v>
      </c>
      <c r="D47" s="26">
        <v>1</v>
      </c>
      <c r="E47" s="84">
        <v>1</v>
      </c>
      <c r="F47" s="84"/>
      <c r="G47" s="26">
        <v>1</v>
      </c>
      <c r="H47" s="46"/>
      <c r="I47" s="26">
        <f t="shared" ref="I47:I48" si="4">SUM(C47:H47)</f>
        <v>4</v>
      </c>
      <c r="J47" s="27" t="s">
        <v>4</v>
      </c>
      <c r="K47" s="26"/>
      <c r="L47" s="26"/>
      <c r="M47" s="104"/>
      <c r="N47" s="106"/>
      <c r="O47" s="68"/>
    </row>
    <row r="48" spans="1:16" s="2" customFormat="1" ht="72" customHeight="1" x14ac:dyDescent="0.2">
      <c r="A48" s="66">
        <v>32</v>
      </c>
      <c r="B48" s="32" t="s">
        <v>157</v>
      </c>
      <c r="C48" s="26">
        <v>1</v>
      </c>
      <c r="D48" s="26">
        <v>1</v>
      </c>
      <c r="E48" s="84">
        <v>1</v>
      </c>
      <c r="F48" s="84"/>
      <c r="G48" s="26">
        <v>1</v>
      </c>
      <c r="H48" s="46"/>
      <c r="I48" s="26">
        <f t="shared" si="4"/>
        <v>4</v>
      </c>
      <c r="J48" s="27" t="s">
        <v>4</v>
      </c>
      <c r="K48" s="26"/>
      <c r="L48" s="26"/>
      <c r="M48" s="104"/>
      <c r="N48" s="106"/>
      <c r="O48" s="68"/>
    </row>
    <row r="49" spans="1:16" s="2" customFormat="1" ht="30" customHeight="1" x14ac:dyDescent="0.2">
      <c r="A49" s="66">
        <v>33</v>
      </c>
      <c r="B49" s="32" t="s">
        <v>42</v>
      </c>
      <c r="C49" s="25"/>
      <c r="D49" s="25"/>
      <c r="E49" s="129"/>
      <c r="F49" s="129"/>
      <c r="G49" s="26">
        <v>1</v>
      </c>
      <c r="H49" s="46"/>
      <c r="I49" s="26">
        <f t="shared" ref="I49" si="5">SUM(C49:H49)</f>
        <v>1</v>
      </c>
      <c r="J49" s="27" t="s">
        <v>12</v>
      </c>
      <c r="K49" s="26"/>
      <c r="L49" s="26"/>
      <c r="M49" s="104"/>
      <c r="N49" s="106"/>
      <c r="O49" s="68"/>
    </row>
    <row r="50" spans="1:16" s="2" customFormat="1" ht="54.75" customHeight="1" x14ac:dyDescent="0.2">
      <c r="A50" s="66">
        <v>34</v>
      </c>
      <c r="B50" s="24" t="s">
        <v>28</v>
      </c>
      <c r="C50" s="26">
        <v>5.5</v>
      </c>
      <c r="D50" s="26">
        <v>2.1</v>
      </c>
      <c r="E50" s="84"/>
      <c r="F50" s="84"/>
      <c r="G50" s="26">
        <v>11.6</v>
      </c>
      <c r="H50" s="46"/>
      <c r="I50" s="26">
        <f t="shared" ref="I50:I66" si="6">SUM(C50:H50)</f>
        <v>19.2</v>
      </c>
      <c r="J50" s="27" t="s">
        <v>12</v>
      </c>
      <c r="K50" s="26"/>
      <c r="L50" s="26"/>
      <c r="M50" s="104"/>
      <c r="N50" s="106"/>
      <c r="O50" s="72"/>
    </row>
    <row r="51" spans="1:16" s="2" customFormat="1" ht="55.5" customHeight="1" x14ac:dyDescent="0.2">
      <c r="A51" s="66">
        <v>35</v>
      </c>
      <c r="B51" s="24" t="s">
        <v>46</v>
      </c>
      <c r="C51" s="26">
        <v>5.2</v>
      </c>
      <c r="D51" s="26">
        <v>10.65</v>
      </c>
      <c r="E51" s="84"/>
      <c r="F51" s="84"/>
      <c r="G51" s="26">
        <v>6.3</v>
      </c>
      <c r="H51" s="46"/>
      <c r="I51" s="26">
        <f t="shared" si="6"/>
        <v>22.150000000000002</v>
      </c>
      <c r="J51" s="27" t="s">
        <v>12</v>
      </c>
      <c r="K51" s="26"/>
      <c r="L51" s="26"/>
      <c r="M51" s="104"/>
      <c r="N51" s="106"/>
      <c r="O51" s="72"/>
    </row>
    <row r="52" spans="1:16" s="2" customFormat="1" ht="51.75" customHeight="1" x14ac:dyDescent="0.2">
      <c r="A52" s="66">
        <v>36</v>
      </c>
      <c r="B52" s="24" t="s">
        <v>98</v>
      </c>
      <c r="C52" s="26">
        <v>1.8</v>
      </c>
      <c r="D52" s="26">
        <v>4</v>
      </c>
      <c r="E52" s="84"/>
      <c r="F52" s="84"/>
      <c r="G52" s="26">
        <v>3</v>
      </c>
      <c r="H52" s="46"/>
      <c r="I52" s="26">
        <f t="shared" si="6"/>
        <v>8.8000000000000007</v>
      </c>
      <c r="J52" s="27" t="s">
        <v>12</v>
      </c>
      <c r="K52" s="26"/>
      <c r="L52" s="26"/>
      <c r="M52" s="104"/>
      <c r="N52" s="106"/>
      <c r="O52" s="72"/>
    </row>
    <row r="53" spans="1:16" s="2" customFormat="1" ht="66" customHeight="1" x14ac:dyDescent="0.2">
      <c r="A53" s="66">
        <v>37</v>
      </c>
      <c r="B53" s="24" t="s">
        <v>41</v>
      </c>
      <c r="C53" s="26">
        <v>11</v>
      </c>
      <c r="D53" s="26">
        <v>14</v>
      </c>
      <c r="E53" s="84">
        <v>3</v>
      </c>
      <c r="F53" s="84"/>
      <c r="G53" s="26">
        <v>11</v>
      </c>
      <c r="H53" s="46"/>
      <c r="I53" s="26">
        <f>SUM(C53:H53)</f>
        <v>39</v>
      </c>
      <c r="J53" s="29" t="s">
        <v>6</v>
      </c>
      <c r="K53" s="26"/>
      <c r="L53" s="26"/>
      <c r="M53" s="104"/>
      <c r="N53" s="106"/>
      <c r="O53" s="67"/>
    </row>
    <row r="54" spans="1:16" s="2" customFormat="1" ht="66" customHeight="1" x14ac:dyDescent="0.2">
      <c r="A54" s="66">
        <v>38</v>
      </c>
      <c r="B54" s="24" t="s">
        <v>100</v>
      </c>
      <c r="C54" s="26">
        <v>5.5</v>
      </c>
      <c r="D54" s="26">
        <v>2.1</v>
      </c>
      <c r="E54" s="84"/>
      <c r="F54" s="84"/>
      <c r="G54" s="26">
        <v>11.6</v>
      </c>
      <c r="H54" s="46"/>
      <c r="I54" s="26">
        <f t="shared" ref="I54" si="7">SUM(C54:H54)</f>
        <v>19.2</v>
      </c>
      <c r="J54" s="27" t="s">
        <v>12</v>
      </c>
      <c r="K54" s="26"/>
      <c r="L54" s="26"/>
      <c r="M54" s="104"/>
      <c r="N54" s="106"/>
      <c r="O54" s="67"/>
    </row>
    <row r="55" spans="1:16" s="2" customFormat="1" ht="66.75" customHeight="1" x14ac:dyDescent="0.2">
      <c r="A55" s="66">
        <v>39</v>
      </c>
      <c r="B55" s="24" t="s">
        <v>101</v>
      </c>
      <c r="C55" s="26">
        <v>19.100000000000001</v>
      </c>
      <c r="D55" s="26">
        <v>20.7</v>
      </c>
      <c r="E55" s="84">
        <v>8.1</v>
      </c>
      <c r="F55" s="84"/>
      <c r="G55" s="26"/>
      <c r="H55" s="46"/>
      <c r="I55" s="26">
        <f t="shared" ref="I55" si="8">SUM(C55:H55)</f>
        <v>47.9</v>
      </c>
      <c r="J55" s="27" t="s">
        <v>12</v>
      </c>
      <c r="K55" s="26"/>
      <c r="L55" s="26"/>
      <c r="M55" s="104"/>
      <c r="N55" s="106"/>
      <c r="O55" s="73"/>
    </row>
    <row r="56" spans="1:16" s="2" customFormat="1" ht="66" customHeight="1" x14ac:dyDescent="0.2">
      <c r="A56" s="66">
        <v>40</v>
      </c>
      <c r="B56" s="24" t="s">
        <v>99</v>
      </c>
      <c r="C56" s="26">
        <v>12.6</v>
      </c>
      <c r="D56" s="26">
        <v>7.9</v>
      </c>
      <c r="E56" s="84"/>
      <c r="F56" s="84"/>
      <c r="G56" s="26"/>
      <c r="H56" s="46"/>
      <c r="I56" s="26">
        <f>SUM(C56:H56)</f>
        <v>20.5</v>
      </c>
      <c r="J56" s="27" t="s">
        <v>29</v>
      </c>
      <c r="K56" s="26"/>
      <c r="L56" s="26"/>
      <c r="M56" s="104"/>
      <c r="N56" s="106"/>
      <c r="O56" s="67"/>
    </row>
    <row r="57" spans="1:16" s="2" customFormat="1" ht="102.75" customHeight="1" x14ac:dyDescent="0.2">
      <c r="A57" s="66">
        <v>41</v>
      </c>
      <c r="B57" s="24" t="s">
        <v>84</v>
      </c>
      <c r="C57" s="26">
        <v>12.6</v>
      </c>
      <c r="D57" s="26">
        <v>5.85</v>
      </c>
      <c r="E57" s="84">
        <v>5.0999999999999996</v>
      </c>
      <c r="F57" s="84"/>
      <c r="G57" s="26">
        <v>8.9</v>
      </c>
      <c r="H57" s="39"/>
      <c r="I57" s="26">
        <f t="shared" si="6"/>
        <v>32.449999999999996</v>
      </c>
      <c r="J57" s="27" t="s">
        <v>29</v>
      </c>
      <c r="K57" s="26"/>
      <c r="L57" s="26"/>
      <c r="M57" s="104"/>
      <c r="N57" s="106"/>
      <c r="O57" s="67"/>
      <c r="P57" s="12"/>
    </row>
    <row r="58" spans="1:16" s="2" customFormat="1" ht="81" customHeight="1" x14ac:dyDescent="0.2">
      <c r="A58" s="66">
        <v>42</v>
      </c>
      <c r="B58" s="24" t="s">
        <v>83</v>
      </c>
      <c r="C58" s="26">
        <v>21.2</v>
      </c>
      <c r="D58" s="26">
        <v>22.1</v>
      </c>
      <c r="E58" s="84">
        <v>9</v>
      </c>
      <c r="F58" s="84"/>
      <c r="G58" s="26"/>
      <c r="H58" s="46"/>
      <c r="I58" s="26">
        <f t="shared" si="6"/>
        <v>52.3</v>
      </c>
      <c r="J58" s="27" t="s">
        <v>29</v>
      </c>
      <c r="K58" s="26"/>
      <c r="L58" s="26"/>
      <c r="M58" s="104"/>
      <c r="N58" s="106"/>
      <c r="O58" s="67"/>
    </row>
    <row r="59" spans="1:16" ht="54" customHeight="1" x14ac:dyDescent="0.2">
      <c r="A59" s="66">
        <v>43</v>
      </c>
      <c r="B59" s="24" t="s">
        <v>102</v>
      </c>
      <c r="C59" s="26">
        <v>12.6</v>
      </c>
      <c r="D59" s="26">
        <v>7.9</v>
      </c>
      <c r="E59" s="130"/>
      <c r="F59" s="130"/>
      <c r="G59" s="20"/>
      <c r="H59" s="20"/>
      <c r="I59" s="26">
        <f t="shared" ref="I59" si="9">SUM(C59:H59)</f>
        <v>20.5</v>
      </c>
      <c r="J59" s="27" t="s">
        <v>29</v>
      </c>
      <c r="K59" s="26"/>
      <c r="L59" s="26"/>
      <c r="M59" s="104"/>
      <c r="N59" s="106"/>
      <c r="O59" s="69"/>
    </row>
    <row r="60" spans="1:16" s="2" customFormat="1" ht="131.25" customHeight="1" x14ac:dyDescent="0.2">
      <c r="A60" s="66">
        <v>44</v>
      </c>
      <c r="B60" s="24" t="s">
        <v>109</v>
      </c>
      <c r="C60" s="26"/>
      <c r="D60" s="26"/>
      <c r="E60" s="84"/>
      <c r="F60" s="84"/>
      <c r="G60" s="26">
        <v>1</v>
      </c>
      <c r="H60" s="39"/>
      <c r="I60" s="26">
        <f t="shared" si="6"/>
        <v>1</v>
      </c>
      <c r="J60" s="29" t="s">
        <v>6</v>
      </c>
      <c r="K60" s="26"/>
      <c r="L60" s="26"/>
      <c r="M60" s="104"/>
      <c r="N60" s="106"/>
      <c r="O60" s="67"/>
    </row>
    <row r="61" spans="1:16" s="2" customFormat="1" ht="81" customHeight="1" x14ac:dyDescent="0.2">
      <c r="A61" s="66">
        <v>45</v>
      </c>
      <c r="B61" s="24" t="s">
        <v>103</v>
      </c>
      <c r="C61" s="26">
        <v>11</v>
      </c>
      <c r="D61" s="26">
        <v>14</v>
      </c>
      <c r="E61" s="84">
        <v>3</v>
      </c>
      <c r="F61" s="84"/>
      <c r="G61" s="26">
        <v>6</v>
      </c>
      <c r="H61" s="39"/>
      <c r="I61" s="26">
        <f t="shared" ref="I61:I63" si="10">SUM(C61:H61)</f>
        <v>34</v>
      </c>
      <c r="J61" s="29" t="s">
        <v>6</v>
      </c>
      <c r="K61" s="26"/>
      <c r="L61" s="26"/>
      <c r="M61" s="104"/>
      <c r="N61" s="106"/>
      <c r="O61" s="67"/>
    </row>
    <row r="62" spans="1:16" s="2" customFormat="1" ht="76.5" customHeight="1" x14ac:dyDescent="0.2">
      <c r="A62" s="66">
        <v>46</v>
      </c>
      <c r="B62" s="24" t="s">
        <v>86</v>
      </c>
      <c r="C62" s="26"/>
      <c r="D62" s="26"/>
      <c r="E62" s="84">
        <v>5.5</v>
      </c>
      <c r="F62" s="84"/>
      <c r="G62" s="26"/>
      <c r="H62" s="39"/>
      <c r="I62" s="26">
        <f t="shared" si="10"/>
        <v>5.5</v>
      </c>
      <c r="J62" s="27" t="s">
        <v>29</v>
      </c>
      <c r="K62" s="26"/>
      <c r="L62" s="26"/>
      <c r="M62" s="104"/>
      <c r="N62" s="106"/>
      <c r="O62" s="67"/>
    </row>
    <row r="63" spans="1:16" s="2" customFormat="1" ht="121.5" customHeight="1" x14ac:dyDescent="0.2">
      <c r="A63" s="66">
        <v>47</v>
      </c>
      <c r="B63" s="24" t="s">
        <v>32</v>
      </c>
      <c r="C63" s="26">
        <v>1</v>
      </c>
      <c r="D63" s="26">
        <v>1</v>
      </c>
      <c r="E63" s="84">
        <v>1</v>
      </c>
      <c r="F63" s="84"/>
      <c r="G63" s="26">
        <v>1</v>
      </c>
      <c r="H63" s="46"/>
      <c r="I63" s="26">
        <f t="shared" si="10"/>
        <v>4</v>
      </c>
      <c r="J63" s="27" t="s">
        <v>4</v>
      </c>
      <c r="K63" s="26"/>
      <c r="L63" s="26"/>
      <c r="M63" s="104"/>
      <c r="N63" s="106"/>
      <c r="O63" s="67"/>
    </row>
    <row r="64" spans="1:16" s="2" customFormat="1" ht="91.5" customHeight="1" x14ac:dyDescent="0.2">
      <c r="A64" s="66">
        <v>48</v>
      </c>
      <c r="B64" s="24" t="s">
        <v>30</v>
      </c>
      <c r="C64" s="26">
        <v>1</v>
      </c>
      <c r="D64" s="26">
        <v>1</v>
      </c>
      <c r="E64" s="84">
        <v>1</v>
      </c>
      <c r="F64" s="84"/>
      <c r="G64" s="26">
        <v>1</v>
      </c>
      <c r="H64" s="46"/>
      <c r="I64" s="26">
        <f t="shared" ref="I64" si="11">SUM(C64:H64)</f>
        <v>4</v>
      </c>
      <c r="J64" s="27" t="s">
        <v>4</v>
      </c>
      <c r="K64" s="26"/>
      <c r="L64" s="26"/>
      <c r="M64" s="104"/>
      <c r="N64" s="106"/>
      <c r="O64" s="67"/>
    </row>
    <row r="65" spans="1:15" s="2" customFormat="1" ht="71.25" customHeight="1" x14ac:dyDescent="0.2">
      <c r="A65" s="66">
        <v>49</v>
      </c>
      <c r="B65" s="24" t="s">
        <v>104</v>
      </c>
      <c r="C65" s="26">
        <v>10.7</v>
      </c>
      <c r="D65" s="26">
        <v>12.75</v>
      </c>
      <c r="E65" s="84"/>
      <c r="F65" s="84"/>
      <c r="G65" s="26">
        <v>17.899999999999999</v>
      </c>
      <c r="H65" s="46"/>
      <c r="I65" s="26">
        <f t="shared" ref="I65" si="12">SUM(C65:H65)</f>
        <v>41.349999999999994</v>
      </c>
      <c r="J65" s="27" t="s">
        <v>12</v>
      </c>
      <c r="K65" s="26"/>
      <c r="L65" s="26"/>
      <c r="M65" s="104"/>
      <c r="N65" s="106"/>
      <c r="O65" s="67"/>
    </row>
    <row r="66" spans="1:15" s="2" customFormat="1" ht="51" x14ac:dyDescent="0.2">
      <c r="A66" s="66">
        <v>50</v>
      </c>
      <c r="B66" s="24" t="s">
        <v>36</v>
      </c>
      <c r="C66" s="26">
        <v>1</v>
      </c>
      <c r="D66" s="26">
        <v>2</v>
      </c>
      <c r="E66" s="84">
        <v>2</v>
      </c>
      <c r="F66" s="84"/>
      <c r="G66" s="26">
        <v>2</v>
      </c>
      <c r="H66" s="46"/>
      <c r="I66" s="26">
        <f t="shared" si="6"/>
        <v>7</v>
      </c>
      <c r="J66" s="27" t="s">
        <v>6</v>
      </c>
      <c r="K66" s="26"/>
      <c r="L66" s="26"/>
      <c r="M66" s="104"/>
      <c r="N66" s="106"/>
      <c r="O66" s="67"/>
    </row>
    <row r="67" spans="1:15" s="2" customFormat="1" ht="24.75" customHeight="1" x14ac:dyDescent="0.2">
      <c r="A67" s="66"/>
      <c r="B67" s="93" t="s">
        <v>14</v>
      </c>
      <c r="C67" s="94"/>
      <c r="D67" s="94"/>
      <c r="E67" s="94"/>
      <c r="F67" s="94"/>
      <c r="G67" s="94"/>
      <c r="H67" s="94"/>
      <c r="I67" s="94"/>
      <c r="J67" s="94"/>
      <c r="K67" s="95"/>
      <c r="L67" s="40">
        <f>SUM(L47:L66)</f>
        <v>0</v>
      </c>
      <c r="M67" s="104"/>
      <c r="N67" s="106"/>
      <c r="O67" s="67"/>
    </row>
    <row r="68" spans="1:15" s="2" customFormat="1" ht="38.25" customHeight="1" x14ac:dyDescent="0.2">
      <c r="A68" s="66"/>
      <c r="B68" s="21" t="s">
        <v>166</v>
      </c>
      <c r="C68" s="82"/>
      <c r="D68" s="98"/>
      <c r="E68" s="98"/>
      <c r="F68" s="98"/>
      <c r="G68" s="98"/>
      <c r="H68" s="98"/>
      <c r="I68" s="98"/>
      <c r="J68" s="98"/>
      <c r="K68" s="98"/>
      <c r="L68" s="83"/>
      <c r="M68" s="107"/>
      <c r="N68" s="107"/>
      <c r="O68" s="68"/>
    </row>
    <row r="69" spans="1:15" s="2" customFormat="1" ht="51" x14ac:dyDescent="0.2">
      <c r="A69" s="66">
        <v>51</v>
      </c>
      <c r="B69" s="32" t="s">
        <v>49</v>
      </c>
      <c r="C69" s="26"/>
      <c r="D69" s="26">
        <v>1</v>
      </c>
      <c r="E69" s="84">
        <v>1</v>
      </c>
      <c r="F69" s="84"/>
      <c r="G69" s="26"/>
      <c r="H69" s="46"/>
      <c r="I69" s="26">
        <f t="shared" ref="I69" si="13">SUM(C69:H69)</f>
        <v>2</v>
      </c>
      <c r="J69" s="27" t="s">
        <v>4</v>
      </c>
      <c r="K69" s="26"/>
      <c r="L69" s="26"/>
      <c r="M69" s="104"/>
      <c r="N69" s="106"/>
      <c r="O69" s="67"/>
    </row>
    <row r="70" spans="1:15" s="2" customFormat="1" ht="30.75" customHeight="1" x14ac:dyDescent="0.2">
      <c r="A70" s="66">
        <v>52</v>
      </c>
      <c r="B70" s="32" t="s">
        <v>87</v>
      </c>
      <c r="C70" s="25"/>
      <c r="D70" s="26">
        <v>1</v>
      </c>
      <c r="E70" s="84">
        <v>1</v>
      </c>
      <c r="F70" s="84"/>
      <c r="G70" s="26"/>
      <c r="H70" s="46"/>
      <c r="I70" s="26">
        <f t="shared" ref="I70:I71" si="14">SUM(C70:H70)</f>
        <v>2</v>
      </c>
      <c r="J70" s="27" t="s">
        <v>4</v>
      </c>
      <c r="K70" s="26"/>
      <c r="L70" s="26"/>
      <c r="M70" s="104"/>
      <c r="N70" s="106"/>
      <c r="O70" s="67"/>
    </row>
    <row r="71" spans="1:15" s="2" customFormat="1" ht="105.75" customHeight="1" x14ac:dyDescent="0.2">
      <c r="A71" s="66">
        <v>53</v>
      </c>
      <c r="B71" s="51" t="s">
        <v>88</v>
      </c>
      <c r="C71" s="25"/>
      <c r="D71" s="26">
        <v>2</v>
      </c>
      <c r="E71" s="84">
        <v>5</v>
      </c>
      <c r="F71" s="84"/>
      <c r="G71" s="26"/>
      <c r="H71" s="46"/>
      <c r="I71" s="26">
        <f t="shared" si="14"/>
        <v>7</v>
      </c>
      <c r="J71" s="27" t="s">
        <v>4</v>
      </c>
      <c r="K71" s="26"/>
      <c r="L71" s="26"/>
      <c r="M71" s="104"/>
      <c r="N71" s="106"/>
      <c r="O71" s="67"/>
    </row>
    <row r="72" spans="1:15" s="2" customFormat="1" ht="66" customHeight="1" x14ac:dyDescent="0.2">
      <c r="A72" s="66">
        <v>54</v>
      </c>
      <c r="B72" s="32" t="s">
        <v>50</v>
      </c>
      <c r="C72" s="26"/>
      <c r="D72" s="26"/>
      <c r="E72" s="84">
        <v>1</v>
      </c>
      <c r="F72" s="84"/>
      <c r="G72" s="26"/>
      <c r="H72" s="46"/>
      <c r="I72" s="26">
        <f t="shared" ref="I72:I79" si="15">SUM(C72:H72)</f>
        <v>1</v>
      </c>
      <c r="J72" s="27" t="s">
        <v>12</v>
      </c>
      <c r="K72" s="26"/>
      <c r="L72" s="26"/>
      <c r="M72" s="104"/>
      <c r="N72" s="106"/>
      <c r="O72" s="67"/>
    </row>
    <row r="73" spans="1:15" s="2" customFormat="1" ht="49.5" customHeight="1" x14ac:dyDescent="0.2">
      <c r="A73" s="66">
        <v>55</v>
      </c>
      <c r="B73" s="32" t="s">
        <v>51</v>
      </c>
      <c r="C73" s="26"/>
      <c r="D73" s="26"/>
      <c r="E73" s="84">
        <v>15</v>
      </c>
      <c r="F73" s="84"/>
      <c r="G73" s="26"/>
      <c r="H73" s="46"/>
      <c r="I73" s="26">
        <f t="shared" si="15"/>
        <v>15</v>
      </c>
      <c r="J73" s="27" t="s">
        <v>12</v>
      </c>
      <c r="K73" s="26"/>
      <c r="L73" s="26"/>
      <c r="M73" s="104"/>
      <c r="N73" s="106"/>
      <c r="O73" s="73"/>
    </row>
    <row r="74" spans="1:15" s="2" customFormat="1" ht="38.25" x14ac:dyDescent="0.2">
      <c r="A74" s="66">
        <v>56</v>
      </c>
      <c r="B74" s="32" t="s">
        <v>52</v>
      </c>
      <c r="C74" s="26"/>
      <c r="D74" s="26"/>
      <c r="E74" s="84">
        <v>7</v>
      </c>
      <c r="F74" s="84"/>
      <c r="G74" s="26"/>
      <c r="H74" s="46"/>
      <c r="I74" s="26">
        <f t="shared" si="15"/>
        <v>7</v>
      </c>
      <c r="J74" s="27" t="s">
        <v>12</v>
      </c>
      <c r="K74" s="26"/>
      <c r="L74" s="26"/>
      <c r="M74" s="104"/>
      <c r="N74" s="106"/>
      <c r="O74" s="73"/>
    </row>
    <row r="75" spans="1:15" s="2" customFormat="1" ht="51" x14ac:dyDescent="0.2">
      <c r="A75" s="66">
        <v>57</v>
      </c>
      <c r="B75" s="32" t="s">
        <v>53</v>
      </c>
      <c r="C75" s="26"/>
      <c r="D75" s="26"/>
      <c r="E75" s="84">
        <v>0.5</v>
      </c>
      <c r="F75" s="84"/>
      <c r="G75" s="26"/>
      <c r="H75" s="46"/>
      <c r="I75" s="26">
        <f t="shared" si="15"/>
        <v>0.5</v>
      </c>
      <c r="J75" s="27" t="s">
        <v>12</v>
      </c>
      <c r="K75" s="26"/>
      <c r="L75" s="26"/>
      <c r="M75" s="104"/>
      <c r="N75" s="106"/>
      <c r="O75" s="67"/>
    </row>
    <row r="76" spans="1:15" ht="38.25" x14ac:dyDescent="0.2">
      <c r="A76" s="66">
        <v>58</v>
      </c>
      <c r="B76" s="32" t="s">
        <v>38</v>
      </c>
      <c r="C76" s="26"/>
      <c r="D76" s="47"/>
      <c r="E76" s="84">
        <v>2</v>
      </c>
      <c r="F76" s="84"/>
      <c r="G76" s="26"/>
      <c r="H76" s="46"/>
      <c r="I76" s="26">
        <f t="shared" si="15"/>
        <v>2</v>
      </c>
      <c r="J76" s="27" t="s">
        <v>6</v>
      </c>
      <c r="K76" s="26"/>
      <c r="L76" s="26"/>
      <c r="M76" s="104"/>
      <c r="N76" s="106"/>
      <c r="O76" s="69"/>
    </row>
    <row r="77" spans="1:15" ht="27.75" customHeight="1" x14ac:dyDescent="0.2">
      <c r="A77" s="66">
        <v>59</v>
      </c>
      <c r="B77" s="32" t="s">
        <v>37</v>
      </c>
      <c r="C77" s="26"/>
      <c r="D77" s="47"/>
      <c r="E77" s="84">
        <v>2</v>
      </c>
      <c r="F77" s="84"/>
      <c r="G77" s="26"/>
      <c r="H77" s="46"/>
      <c r="I77" s="26">
        <f t="shared" si="15"/>
        <v>2</v>
      </c>
      <c r="J77" s="27" t="s">
        <v>6</v>
      </c>
      <c r="K77" s="26"/>
      <c r="L77" s="26"/>
      <c r="M77" s="104"/>
      <c r="N77" s="106"/>
      <c r="O77" s="74"/>
    </row>
    <row r="78" spans="1:15" ht="25.5" x14ac:dyDescent="0.2">
      <c r="A78" s="66">
        <v>60</v>
      </c>
      <c r="B78" s="32" t="s">
        <v>39</v>
      </c>
      <c r="C78" s="26"/>
      <c r="D78" s="47"/>
      <c r="E78" s="84">
        <v>2</v>
      </c>
      <c r="F78" s="84"/>
      <c r="G78" s="26"/>
      <c r="H78" s="46"/>
      <c r="I78" s="26">
        <f t="shared" si="15"/>
        <v>2</v>
      </c>
      <c r="J78" s="27" t="s">
        <v>6</v>
      </c>
      <c r="K78" s="26"/>
      <c r="L78" s="26"/>
      <c r="M78" s="104"/>
      <c r="N78" s="106"/>
      <c r="O78" s="74"/>
    </row>
    <row r="79" spans="1:15" ht="51" x14ac:dyDescent="0.2">
      <c r="A79" s="66">
        <v>61</v>
      </c>
      <c r="B79" s="32" t="s">
        <v>45</v>
      </c>
      <c r="C79" s="26"/>
      <c r="D79" s="47"/>
      <c r="E79" s="84">
        <v>2</v>
      </c>
      <c r="F79" s="84"/>
      <c r="G79" s="26"/>
      <c r="H79" s="46"/>
      <c r="I79" s="26">
        <f t="shared" si="15"/>
        <v>2</v>
      </c>
      <c r="J79" s="27" t="s">
        <v>6</v>
      </c>
      <c r="K79" s="26"/>
      <c r="L79" s="26"/>
      <c r="M79" s="104"/>
      <c r="N79" s="106"/>
      <c r="O79" s="74"/>
    </row>
    <row r="80" spans="1:15" ht="51" x14ac:dyDescent="0.2">
      <c r="A80" s="66">
        <v>62</v>
      </c>
      <c r="B80" s="32" t="s">
        <v>40</v>
      </c>
      <c r="C80" s="26"/>
      <c r="D80" s="47"/>
      <c r="E80" s="84">
        <v>1</v>
      </c>
      <c r="F80" s="84"/>
      <c r="G80" s="26"/>
      <c r="H80" s="46"/>
      <c r="I80" s="26">
        <v>1</v>
      </c>
      <c r="J80" s="27" t="s">
        <v>6</v>
      </c>
      <c r="K80" s="26"/>
      <c r="L80" s="26"/>
      <c r="M80" s="104"/>
      <c r="N80" s="106"/>
      <c r="O80" s="69"/>
    </row>
    <row r="81" spans="1:15" ht="130.5" customHeight="1" x14ac:dyDescent="0.2">
      <c r="A81" s="66">
        <v>63</v>
      </c>
      <c r="B81" s="32" t="s">
        <v>125</v>
      </c>
      <c r="C81" s="26"/>
      <c r="D81" s="47"/>
      <c r="E81" s="84">
        <v>15</v>
      </c>
      <c r="F81" s="84"/>
      <c r="G81" s="26"/>
      <c r="H81" s="46"/>
      <c r="I81" s="26">
        <f>SUM(C81:H81)</f>
        <v>15</v>
      </c>
      <c r="J81" s="27" t="s">
        <v>12</v>
      </c>
      <c r="K81" s="26"/>
      <c r="L81" s="26"/>
      <c r="M81" s="104"/>
      <c r="N81" s="106"/>
      <c r="O81" s="74"/>
    </row>
    <row r="82" spans="1:15" ht="86.25" customHeight="1" x14ac:dyDescent="0.2">
      <c r="A82" s="66">
        <v>64</v>
      </c>
      <c r="B82" s="32" t="s">
        <v>126</v>
      </c>
      <c r="C82" s="26"/>
      <c r="D82" s="47"/>
      <c r="E82" s="84">
        <v>7.5</v>
      </c>
      <c r="F82" s="84"/>
      <c r="G82" s="26"/>
      <c r="H82" s="46"/>
      <c r="I82" s="26">
        <f>SUM(C82:H82)</f>
        <v>7.5</v>
      </c>
      <c r="J82" s="27" t="s">
        <v>12</v>
      </c>
      <c r="K82" s="26"/>
      <c r="L82" s="26"/>
      <c r="M82" s="104"/>
      <c r="N82" s="106"/>
      <c r="O82" s="74"/>
    </row>
    <row r="83" spans="1:15" ht="52.5" customHeight="1" x14ac:dyDescent="0.2">
      <c r="A83" s="66">
        <v>65</v>
      </c>
      <c r="B83" s="32" t="s">
        <v>127</v>
      </c>
      <c r="C83" s="26"/>
      <c r="D83" s="47"/>
      <c r="E83" s="84">
        <v>0.5</v>
      </c>
      <c r="F83" s="84"/>
      <c r="G83" s="26"/>
      <c r="H83" s="46"/>
      <c r="I83" s="26">
        <f>SUM(C83:H83)</f>
        <v>0.5</v>
      </c>
      <c r="J83" s="27" t="s">
        <v>12</v>
      </c>
      <c r="K83" s="26"/>
      <c r="L83" s="26"/>
      <c r="M83" s="104"/>
      <c r="N83" s="106"/>
      <c r="O83" s="74"/>
    </row>
    <row r="84" spans="1:15" ht="62.25" customHeight="1" x14ac:dyDescent="0.2">
      <c r="A84" s="66">
        <v>66</v>
      </c>
      <c r="B84" s="32" t="s">
        <v>115</v>
      </c>
      <c r="C84" s="26"/>
      <c r="D84" s="26"/>
      <c r="E84" s="84">
        <v>1</v>
      </c>
      <c r="F84" s="84"/>
      <c r="G84" s="26"/>
      <c r="H84" s="46"/>
      <c r="I84" s="26">
        <f t="shared" ref="I84:I90" si="16">SUM(C84:H84)</f>
        <v>1</v>
      </c>
      <c r="J84" s="27" t="s">
        <v>6</v>
      </c>
      <c r="K84" s="26"/>
      <c r="L84" s="26"/>
      <c r="M84" s="104"/>
      <c r="N84" s="106"/>
      <c r="O84" s="74"/>
    </row>
    <row r="85" spans="1:15" ht="57" customHeight="1" x14ac:dyDescent="0.2">
      <c r="A85" s="66">
        <v>67</v>
      </c>
      <c r="B85" s="32" t="s">
        <v>116</v>
      </c>
      <c r="C85" s="26"/>
      <c r="D85" s="26"/>
      <c r="E85" s="84">
        <v>1</v>
      </c>
      <c r="F85" s="84"/>
      <c r="G85" s="26"/>
      <c r="H85" s="46"/>
      <c r="I85" s="26">
        <f t="shared" si="16"/>
        <v>1</v>
      </c>
      <c r="J85" s="27" t="s">
        <v>4</v>
      </c>
      <c r="K85" s="26"/>
      <c r="L85" s="26"/>
      <c r="M85" s="104"/>
      <c r="N85" s="106"/>
      <c r="O85" s="74"/>
    </row>
    <row r="86" spans="1:15" ht="38.25" x14ac:dyDescent="0.2">
      <c r="A86" s="66">
        <v>68</v>
      </c>
      <c r="B86" s="32" t="s">
        <v>44</v>
      </c>
      <c r="C86" s="26"/>
      <c r="D86" s="26"/>
      <c r="E86" s="84">
        <v>3.6</v>
      </c>
      <c r="F86" s="84"/>
      <c r="G86" s="26"/>
      <c r="H86" s="46"/>
      <c r="I86" s="26">
        <f t="shared" ref="I86" si="17">SUM(C86:H86)</f>
        <v>3.6</v>
      </c>
      <c r="J86" s="27" t="s">
        <v>12</v>
      </c>
      <c r="K86" s="26"/>
      <c r="L86" s="26"/>
      <c r="M86" s="104"/>
      <c r="N86" s="106"/>
      <c r="O86" s="74"/>
    </row>
    <row r="87" spans="1:15" ht="26.45" customHeight="1" x14ac:dyDescent="0.2">
      <c r="A87" s="66">
        <v>69</v>
      </c>
      <c r="B87" s="32" t="s">
        <v>43</v>
      </c>
      <c r="C87" s="26"/>
      <c r="D87" s="26">
        <v>1</v>
      </c>
      <c r="E87" s="84"/>
      <c r="F87" s="84"/>
      <c r="G87" s="26"/>
      <c r="H87" s="46"/>
      <c r="I87" s="26">
        <f t="shared" si="16"/>
        <v>1</v>
      </c>
      <c r="J87" s="27" t="s">
        <v>6</v>
      </c>
      <c r="K87" s="26"/>
      <c r="L87" s="26"/>
      <c r="M87" s="104"/>
      <c r="N87" s="106"/>
      <c r="O87" s="74"/>
    </row>
    <row r="88" spans="1:15" ht="38.25" x14ac:dyDescent="0.2">
      <c r="A88" s="66">
        <v>70</v>
      </c>
      <c r="B88" s="32" t="s">
        <v>117</v>
      </c>
      <c r="C88" s="26"/>
      <c r="D88" s="26"/>
      <c r="E88" s="84">
        <v>1</v>
      </c>
      <c r="F88" s="84"/>
      <c r="G88" s="26"/>
      <c r="H88" s="46"/>
      <c r="I88" s="26">
        <f t="shared" si="16"/>
        <v>1</v>
      </c>
      <c r="J88" s="27" t="s">
        <v>6</v>
      </c>
      <c r="K88" s="26"/>
      <c r="L88" s="26"/>
      <c r="M88" s="104"/>
      <c r="N88" s="106"/>
      <c r="O88" s="74"/>
    </row>
    <row r="89" spans="1:15" ht="27.6" customHeight="1" x14ac:dyDescent="0.2">
      <c r="A89" s="66">
        <v>71</v>
      </c>
      <c r="B89" s="32" t="s">
        <v>23</v>
      </c>
      <c r="C89" s="26"/>
      <c r="D89" s="26"/>
      <c r="E89" s="84">
        <v>1</v>
      </c>
      <c r="F89" s="84"/>
      <c r="G89" s="26"/>
      <c r="H89" s="46"/>
      <c r="I89" s="26">
        <f t="shared" si="16"/>
        <v>1</v>
      </c>
      <c r="J89" s="27" t="s">
        <v>6</v>
      </c>
      <c r="K89" s="26"/>
      <c r="L89" s="26"/>
      <c r="M89" s="104"/>
      <c r="N89" s="106"/>
      <c r="O89" s="74"/>
    </row>
    <row r="90" spans="1:15" ht="52.5" customHeight="1" x14ac:dyDescent="0.2">
      <c r="A90" s="66">
        <v>72</v>
      </c>
      <c r="B90" s="32" t="s">
        <v>108</v>
      </c>
      <c r="C90" s="26"/>
      <c r="D90" s="26"/>
      <c r="E90" s="84">
        <v>1</v>
      </c>
      <c r="F90" s="84"/>
      <c r="G90" s="26"/>
      <c r="H90" s="46"/>
      <c r="I90" s="26">
        <f t="shared" si="16"/>
        <v>1</v>
      </c>
      <c r="J90" s="27" t="s">
        <v>6</v>
      </c>
      <c r="K90" s="26"/>
      <c r="L90" s="26"/>
      <c r="M90" s="104"/>
      <c r="N90" s="106"/>
      <c r="O90" s="74"/>
    </row>
    <row r="91" spans="1:15" ht="38.25" customHeight="1" x14ac:dyDescent="0.2">
      <c r="A91" s="66">
        <v>73</v>
      </c>
      <c r="B91" s="32" t="s">
        <v>47</v>
      </c>
      <c r="C91" s="26"/>
      <c r="D91" s="26">
        <v>1</v>
      </c>
      <c r="E91" s="84">
        <v>1</v>
      </c>
      <c r="F91" s="84"/>
      <c r="G91" s="26"/>
      <c r="H91" s="46"/>
      <c r="I91" s="26">
        <f t="shared" ref="I91:I92" si="18">SUM(C91:H91)</f>
        <v>2</v>
      </c>
      <c r="J91" s="27" t="s">
        <v>4</v>
      </c>
      <c r="K91" s="26"/>
      <c r="L91" s="26"/>
      <c r="M91" s="104"/>
      <c r="N91" s="106"/>
      <c r="O91" s="74"/>
    </row>
    <row r="92" spans="1:15" ht="53.25" customHeight="1" x14ac:dyDescent="0.2">
      <c r="A92" s="66">
        <v>74</v>
      </c>
      <c r="B92" s="32" t="s">
        <v>48</v>
      </c>
      <c r="C92" s="26"/>
      <c r="D92" s="26">
        <v>1</v>
      </c>
      <c r="E92" s="84">
        <v>1</v>
      </c>
      <c r="F92" s="84"/>
      <c r="G92" s="26"/>
      <c r="H92" s="46"/>
      <c r="I92" s="26">
        <f t="shared" si="18"/>
        <v>2</v>
      </c>
      <c r="J92" s="27" t="s">
        <v>4</v>
      </c>
      <c r="K92" s="26"/>
      <c r="L92" s="26"/>
      <c r="M92" s="104"/>
      <c r="N92" s="106"/>
      <c r="O92" s="74"/>
    </row>
    <row r="93" spans="1:15" ht="69.75" customHeight="1" x14ac:dyDescent="0.2">
      <c r="A93" s="66">
        <v>75</v>
      </c>
      <c r="B93" s="24" t="s">
        <v>54</v>
      </c>
      <c r="C93" s="26"/>
      <c r="D93" s="26"/>
      <c r="E93" s="84">
        <v>22.5</v>
      </c>
      <c r="F93" s="84"/>
      <c r="G93" s="26"/>
      <c r="H93" s="46"/>
      <c r="I93" s="26">
        <f t="shared" ref="I93" si="19">SUM(C93:H93)</f>
        <v>22.5</v>
      </c>
      <c r="J93" s="27" t="s">
        <v>12</v>
      </c>
      <c r="K93" s="26"/>
      <c r="L93" s="26"/>
      <c r="M93" s="104"/>
      <c r="N93" s="106"/>
      <c r="O93" s="74"/>
    </row>
    <row r="94" spans="1:15" s="2" customFormat="1" ht="19.5" customHeight="1" x14ac:dyDescent="0.2">
      <c r="A94" s="66"/>
      <c r="B94" s="93" t="s">
        <v>14</v>
      </c>
      <c r="C94" s="94"/>
      <c r="D94" s="94"/>
      <c r="E94" s="94"/>
      <c r="F94" s="94"/>
      <c r="G94" s="94"/>
      <c r="H94" s="94"/>
      <c r="I94" s="94"/>
      <c r="J94" s="94"/>
      <c r="K94" s="95"/>
      <c r="L94" s="40">
        <f>SUM(L69:L93)</f>
        <v>0</v>
      </c>
      <c r="M94" s="104"/>
      <c r="N94" s="106"/>
      <c r="O94" s="70"/>
    </row>
    <row r="95" spans="1:15" s="2" customFormat="1" ht="41.25" customHeight="1" x14ac:dyDescent="0.2">
      <c r="A95" s="66"/>
      <c r="B95" s="122" t="s">
        <v>59</v>
      </c>
      <c r="C95" s="123"/>
      <c r="D95" s="123"/>
      <c r="E95" s="123"/>
      <c r="F95" s="123"/>
      <c r="G95" s="123"/>
      <c r="H95" s="123"/>
      <c r="I95" s="123"/>
      <c r="J95" s="123"/>
      <c r="K95" s="123"/>
      <c r="L95" s="124"/>
      <c r="M95" s="107"/>
      <c r="N95" s="107"/>
      <c r="O95" s="68"/>
    </row>
    <row r="96" spans="1:15" s="2" customFormat="1" ht="25.5" x14ac:dyDescent="0.2">
      <c r="A96" s="66"/>
      <c r="B96" s="21" t="s">
        <v>123</v>
      </c>
      <c r="C96" s="82"/>
      <c r="D96" s="98"/>
      <c r="E96" s="98"/>
      <c r="F96" s="98"/>
      <c r="G96" s="98"/>
      <c r="H96" s="98"/>
      <c r="I96" s="98"/>
      <c r="J96" s="98"/>
      <c r="K96" s="98"/>
      <c r="L96" s="83"/>
      <c r="M96" s="117"/>
      <c r="N96" s="118"/>
      <c r="O96" s="70"/>
    </row>
    <row r="97" spans="1:15" s="2" customFormat="1" ht="62.25" customHeight="1" x14ac:dyDescent="0.2">
      <c r="A97" s="66">
        <v>76</v>
      </c>
      <c r="B97" s="51" t="s">
        <v>128</v>
      </c>
      <c r="C97" s="26"/>
      <c r="D97" s="26">
        <f>0.6*(2.13+1.6)</f>
        <v>2.238</v>
      </c>
      <c r="E97" s="84">
        <f>(1.9*2*2.48)+(2.51*2*2.48)+4.8</f>
        <v>26.673599999999997</v>
      </c>
      <c r="F97" s="84"/>
      <c r="G97" s="26"/>
      <c r="H97" s="46"/>
      <c r="I97" s="26">
        <f t="shared" ref="I97:I101" si="20">SUM(C97:H97)</f>
        <v>28.911599999999996</v>
      </c>
      <c r="J97" s="50" t="s">
        <v>3</v>
      </c>
      <c r="K97" s="26"/>
      <c r="L97" s="26"/>
      <c r="M97" s="117"/>
      <c r="N97" s="118"/>
      <c r="O97" s="70"/>
    </row>
    <row r="98" spans="1:15" s="2" customFormat="1" ht="69" customHeight="1" x14ac:dyDescent="0.2">
      <c r="A98" s="66">
        <v>77</v>
      </c>
      <c r="B98" s="51" t="s">
        <v>118</v>
      </c>
      <c r="C98" s="26"/>
      <c r="D98" s="26"/>
      <c r="E98" s="84">
        <v>4.8</v>
      </c>
      <c r="F98" s="84"/>
      <c r="G98" s="26"/>
      <c r="H98" s="46"/>
      <c r="I98" s="26">
        <f t="shared" ref="I98" si="21">SUM(C98:H98)</f>
        <v>4.8</v>
      </c>
      <c r="J98" s="50" t="s">
        <v>3</v>
      </c>
      <c r="K98" s="26"/>
      <c r="L98" s="26"/>
      <c r="M98" s="117"/>
      <c r="N98" s="118"/>
      <c r="O98" s="70"/>
    </row>
    <row r="99" spans="1:15" s="2" customFormat="1" ht="51.75" customHeight="1" x14ac:dyDescent="0.2">
      <c r="A99" s="66">
        <v>78</v>
      </c>
      <c r="B99" s="51" t="s">
        <v>138</v>
      </c>
      <c r="C99" s="25"/>
      <c r="D99" s="26"/>
      <c r="E99" s="84">
        <f>(1.9*2*2.48)+(2.51*2*2.48)</f>
        <v>21.873599999999996</v>
      </c>
      <c r="F99" s="84"/>
      <c r="G99" s="52"/>
      <c r="H99" s="53"/>
      <c r="I99" s="26">
        <f t="shared" si="20"/>
        <v>21.873599999999996</v>
      </c>
      <c r="J99" s="50" t="s">
        <v>3</v>
      </c>
      <c r="K99" s="26"/>
      <c r="L99" s="26"/>
      <c r="M99" s="117"/>
      <c r="N99" s="118"/>
      <c r="O99" s="70"/>
    </row>
    <row r="100" spans="1:15" s="2" customFormat="1" ht="39.75" customHeight="1" x14ac:dyDescent="0.2">
      <c r="A100" s="66">
        <v>79</v>
      </c>
      <c r="B100" s="51" t="s">
        <v>60</v>
      </c>
      <c r="C100" s="25"/>
      <c r="D100" s="26"/>
      <c r="E100" s="84">
        <v>1</v>
      </c>
      <c r="F100" s="84"/>
      <c r="G100" s="52"/>
      <c r="H100" s="53"/>
      <c r="I100" s="26">
        <f t="shared" ref="I100" si="22">SUM(C100:H100)</f>
        <v>1</v>
      </c>
      <c r="J100" s="50" t="s">
        <v>6</v>
      </c>
      <c r="K100" s="26"/>
      <c r="L100" s="26"/>
      <c r="M100" s="117"/>
      <c r="N100" s="118"/>
      <c r="O100" s="70"/>
    </row>
    <row r="101" spans="1:15" s="2" customFormat="1" ht="69" customHeight="1" x14ac:dyDescent="0.2">
      <c r="A101" s="66">
        <v>80</v>
      </c>
      <c r="B101" s="51" t="s">
        <v>61</v>
      </c>
      <c r="C101" s="25"/>
      <c r="D101" s="26">
        <f>0.6*(2.13+1.6)</f>
        <v>2.238</v>
      </c>
      <c r="E101" s="129"/>
      <c r="F101" s="129"/>
      <c r="G101" s="52"/>
      <c r="H101" s="53"/>
      <c r="I101" s="26">
        <f t="shared" si="20"/>
        <v>2.238</v>
      </c>
      <c r="J101" s="50" t="s">
        <v>3</v>
      </c>
      <c r="K101" s="26"/>
      <c r="L101" s="26"/>
      <c r="M101" s="117"/>
      <c r="N101" s="118"/>
      <c r="O101" s="70"/>
    </row>
    <row r="102" spans="1:15" s="2" customFormat="1" ht="12.75" customHeight="1" x14ac:dyDescent="0.2">
      <c r="A102" s="66">
        <v>81</v>
      </c>
      <c r="B102" s="54" t="s">
        <v>62</v>
      </c>
      <c r="C102" s="25"/>
      <c r="D102" s="44">
        <f>0.6*(2.13+1.6)</f>
        <v>2.238</v>
      </c>
      <c r="E102" s="84">
        <f>(1.9*2*2.48)+(2.51*2*2.48)+4.8</f>
        <v>26.673599999999997</v>
      </c>
      <c r="F102" s="84"/>
      <c r="G102" s="55"/>
      <c r="H102" s="56"/>
      <c r="I102" s="44">
        <f t="shared" ref="I102" si="23">SUM(C102:H102)</f>
        <v>28.911599999999996</v>
      </c>
      <c r="J102" s="81" t="s">
        <v>3</v>
      </c>
      <c r="K102" s="44"/>
      <c r="L102" s="44"/>
      <c r="M102" s="117"/>
      <c r="N102" s="118"/>
      <c r="O102" s="70"/>
    </row>
    <row r="103" spans="1:15" s="2" customFormat="1" ht="18.75" customHeight="1" x14ac:dyDescent="0.2">
      <c r="A103" s="66"/>
      <c r="B103" s="93" t="s">
        <v>14</v>
      </c>
      <c r="C103" s="94"/>
      <c r="D103" s="94"/>
      <c r="E103" s="94"/>
      <c r="F103" s="94"/>
      <c r="G103" s="94"/>
      <c r="H103" s="94"/>
      <c r="I103" s="94"/>
      <c r="J103" s="94"/>
      <c r="K103" s="95"/>
      <c r="L103" s="40">
        <f>SUM(L97:L102)</f>
        <v>0</v>
      </c>
      <c r="M103" s="117"/>
      <c r="N103" s="118"/>
      <c r="O103" s="70"/>
    </row>
    <row r="104" spans="1:15" s="2" customFormat="1" ht="38.25" customHeight="1" x14ac:dyDescent="0.2">
      <c r="A104" s="66"/>
      <c r="B104" s="21" t="s">
        <v>148</v>
      </c>
      <c r="C104" s="82"/>
      <c r="D104" s="98"/>
      <c r="E104" s="98"/>
      <c r="F104" s="98"/>
      <c r="G104" s="98"/>
      <c r="H104" s="98"/>
      <c r="I104" s="98"/>
      <c r="J104" s="98"/>
      <c r="K104" s="98"/>
      <c r="L104" s="83"/>
      <c r="M104" s="107"/>
      <c r="N104" s="107"/>
      <c r="O104" s="68"/>
    </row>
    <row r="105" spans="1:15" s="2" customFormat="1" ht="16.5" customHeight="1" x14ac:dyDescent="0.2">
      <c r="A105" s="66"/>
      <c r="B105" s="21" t="s">
        <v>58</v>
      </c>
      <c r="C105" s="104"/>
      <c r="D105" s="105"/>
      <c r="E105" s="105"/>
      <c r="F105" s="105"/>
      <c r="G105" s="105"/>
      <c r="H105" s="105"/>
      <c r="I105" s="105"/>
      <c r="J105" s="105"/>
      <c r="K105" s="105"/>
      <c r="L105" s="106"/>
      <c r="M105" s="104"/>
      <c r="N105" s="106"/>
      <c r="O105" s="67"/>
    </row>
    <row r="106" spans="1:15" s="2" customFormat="1" ht="77.25" customHeight="1" x14ac:dyDescent="0.2">
      <c r="A106" s="66">
        <v>82</v>
      </c>
      <c r="B106" s="57" t="s">
        <v>129</v>
      </c>
      <c r="C106" s="41">
        <v>17.5</v>
      </c>
      <c r="D106" s="41">
        <v>5.6</v>
      </c>
      <c r="E106" s="112">
        <v>4.8</v>
      </c>
      <c r="F106" s="112"/>
      <c r="G106" s="41">
        <v>3.2</v>
      </c>
      <c r="H106" s="41"/>
      <c r="I106" s="26">
        <f t="shared" ref="I106:I113" si="24">SUM(C106:H106)</f>
        <v>31.1</v>
      </c>
      <c r="J106" s="27" t="s">
        <v>3</v>
      </c>
      <c r="K106" s="26"/>
      <c r="L106" s="26"/>
      <c r="M106" s="104"/>
      <c r="N106" s="106"/>
      <c r="O106" s="67"/>
    </row>
    <row r="107" spans="1:15" s="2" customFormat="1" ht="62.25" customHeight="1" x14ac:dyDescent="0.2">
      <c r="A107" s="66">
        <v>83</v>
      </c>
      <c r="B107" s="24" t="s">
        <v>130</v>
      </c>
      <c r="C107" s="41"/>
      <c r="D107" s="41">
        <v>5.6</v>
      </c>
      <c r="E107" s="112">
        <v>4.8</v>
      </c>
      <c r="F107" s="112"/>
      <c r="G107" s="41"/>
      <c r="H107" s="41"/>
      <c r="I107" s="26">
        <f t="shared" si="24"/>
        <v>10.399999999999999</v>
      </c>
      <c r="J107" s="27" t="s">
        <v>3</v>
      </c>
      <c r="K107" s="26"/>
      <c r="L107" s="26"/>
      <c r="M107" s="104"/>
      <c r="N107" s="106"/>
      <c r="O107" s="67"/>
    </row>
    <row r="108" spans="1:15" s="2" customFormat="1" ht="58.5" customHeight="1" x14ac:dyDescent="0.2">
      <c r="A108" s="66">
        <v>84</v>
      </c>
      <c r="B108" s="24" t="s">
        <v>131</v>
      </c>
      <c r="C108" s="41">
        <v>17.5</v>
      </c>
      <c r="D108" s="41"/>
      <c r="E108" s="112"/>
      <c r="F108" s="112"/>
      <c r="G108" s="41">
        <v>3.2</v>
      </c>
      <c r="H108" s="41"/>
      <c r="I108" s="26">
        <f t="shared" si="24"/>
        <v>20.7</v>
      </c>
      <c r="J108" s="27" t="s">
        <v>3</v>
      </c>
      <c r="K108" s="26"/>
      <c r="L108" s="26"/>
      <c r="M108" s="104"/>
      <c r="N108" s="106"/>
      <c r="O108" s="67"/>
    </row>
    <row r="109" spans="1:15" s="2" customFormat="1" ht="27" customHeight="1" x14ac:dyDescent="0.2">
      <c r="A109" s="66">
        <v>85</v>
      </c>
      <c r="B109" s="24" t="s">
        <v>132</v>
      </c>
      <c r="C109" s="41">
        <v>17.5</v>
      </c>
      <c r="D109" s="41">
        <v>5.6</v>
      </c>
      <c r="E109" s="112">
        <v>4.8</v>
      </c>
      <c r="F109" s="112"/>
      <c r="G109" s="41">
        <v>3.2</v>
      </c>
      <c r="H109" s="41"/>
      <c r="I109" s="26">
        <f t="shared" si="24"/>
        <v>31.1</v>
      </c>
      <c r="J109" s="27" t="s">
        <v>3</v>
      </c>
      <c r="K109" s="26"/>
      <c r="L109" s="26"/>
      <c r="M109" s="104"/>
      <c r="N109" s="106"/>
      <c r="O109" s="67"/>
    </row>
    <row r="110" spans="1:15" s="2" customFormat="1" ht="42" customHeight="1" x14ac:dyDescent="0.2">
      <c r="A110" s="66">
        <v>86</v>
      </c>
      <c r="B110" s="24" t="s">
        <v>133</v>
      </c>
      <c r="C110" s="41">
        <v>17.5</v>
      </c>
      <c r="D110" s="41">
        <v>5.6</v>
      </c>
      <c r="E110" s="112">
        <v>4.8</v>
      </c>
      <c r="F110" s="112"/>
      <c r="G110" s="41">
        <v>3.2</v>
      </c>
      <c r="H110" s="41"/>
      <c r="I110" s="26">
        <f t="shared" si="24"/>
        <v>31.1</v>
      </c>
      <c r="J110" s="27" t="s">
        <v>3</v>
      </c>
      <c r="K110" s="26"/>
      <c r="L110" s="26"/>
      <c r="M110" s="104"/>
      <c r="N110" s="106"/>
      <c r="O110" s="67"/>
    </row>
    <row r="111" spans="1:15" s="2" customFormat="1" ht="39" customHeight="1" x14ac:dyDescent="0.2">
      <c r="A111" s="66">
        <v>87</v>
      </c>
      <c r="B111" s="24" t="s">
        <v>134</v>
      </c>
      <c r="C111" s="41">
        <v>17.5</v>
      </c>
      <c r="D111" s="41">
        <v>5.6</v>
      </c>
      <c r="E111" s="112">
        <v>4.8</v>
      </c>
      <c r="F111" s="112"/>
      <c r="G111" s="41">
        <v>3.2</v>
      </c>
      <c r="H111" s="41"/>
      <c r="I111" s="26">
        <f t="shared" si="24"/>
        <v>31.1</v>
      </c>
      <c r="J111" s="27" t="s">
        <v>3</v>
      </c>
      <c r="K111" s="26"/>
      <c r="L111" s="26"/>
      <c r="M111" s="104"/>
      <c r="N111" s="106"/>
      <c r="O111" s="68"/>
    </row>
    <row r="112" spans="1:15" s="2" customFormat="1" ht="38.25" x14ac:dyDescent="0.2">
      <c r="A112" s="66">
        <v>88</v>
      </c>
      <c r="B112" s="24" t="s">
        <v>135</v>
      </c>
      <c r="C112" s="41">
        <v>17.5</v>
      </c>
      <c r="D112" s="41">
        <v>5.6</v>
      </c>
      <c r="E112" s="112">
        <v>4.8</v>
      </c>
      <c r="F112" s="112"/>
      <c r="G112" s="41">
        <v>3.2</v>
      </c>
      <c r="H112" s="41"/>
      <c r="I112" s="26">
        <f t="shared" si="24"/>
        <v>31.1</v>
      </c>
      <c r="J112" s="27" t="s">
        <v>3</v>
      </c>
      <c r="K112" s="26"/>
      <c r="L112" s="26"/>
      <c r="M112" s="104"/>
      <c r="N112" s="106"/>
      <c r="O112" s="67"/>
    </row>
    <row r="113" spans="1:21" s="2" customFormat="1" ht="38.25" x14ac:dyDescent="0.2">
      <c r="A113" s="66">
        <v>89</v>
      </c>
      <c r="B113" s="24" t="s">
        <v>107</v>
      </c>
      <c r="C113" s="41">
        <v>17.5</v>
      </c>
      <c r="D113" s="41">
        <v>5.6</v>
      </c>
      <c r="E113" s="112">
        <v>4.8</v>
      </c>
      <c r="F113" s="112"/>
      <c r="G113" s="41">
        <v>3.2</v>
      </c>
      <c r="H113" s="41"/>
      <c r="I113" s="26">
        <f t="shared" si="24"/>
        <v>31.1</v>
      </c>
      <c r="J113" s="27" t="s">
        <v>3</v>
      </c>
      <c r="K113" s="26"/>
      <c r="L113" s="26"/>
      <c r="M113" s="104"/>
      <c r="N113" s="106"/>
      <c r="O113" s="67"/>
    </row>
    <row r="114" spans="1:21" s="2" customFormat="1" x14ac:dyDescent="0.2">
      <c r="A114" s="66"/>
      <c r="B114" s="93" t="s">
        <v>14</v>
      </c>
      <c r="C114" s="94"/>
      <c r="D114" s="94"/>
      <c r="E114" s="94"/>
      <c r="F114" s="94"/>
      <c r="G114" s="94"/>
      <c r="H114" s="94"/>
      <c r="I114" s="94"/>
      <c r="J114" s="94"/>
      <c r="K114" s="95"/>
      <c r="L114" s="40">
        <f>SUM(L106:L113)</f>
        <v>0</v>
      </c>
      <c r="M114" s="104"/>
      <c r="N114" s="106"/>
      <c r="O114" s="67"/>
    </row>
    <row r="115" spans="1:21" s="2" customFormat="1" x14ac:dyDescent="0.2">
      <c r="A115" s="66"/>
      <c r="B115" s="21" t="s">
        <v>76</v>
      </c>
      <c r="C115" s="104"/>
      <c r="D115" s="105"/>
      <c r="E115" s="105"/>
      <c r="F115" s="105"/>
      <c r="G115" s="105"/>
      <c r="H115" s="105"/>
      <c r="I115" s="105"/>
      <c r="J115" s="105"/>
      <c r="K115" s="105"/>
      <c r="L115" s="106"/>
      <c r="M115" s="104"/>
      <c r="N115" s="106"/>
      <c r="O115" s="67"/>
    </row>
    <row r="116" spans="1:21" s="2" customFormat="1" ht="147" customHeight="1" x14ac:dyDescent="0.2">
      <c r="A116" s="66">
        <v>90</v>
      </c>
      <c r="B116" s="51" t="s">
        <v>93</v>
      </c>
      <c r="C116" s="33">
        <f>(0.75*4*0.3)+(1.6*4*0.3)+(0.75*2*0.3)+(1.8*2*0.3)</f>
        <v>4.3499999999999996</v>
      </c>
      <c r="D116" s="33">
        <f>(1.5*2*0.3)+(1.6*2*0.3)</f>
        <v>1.8599999999999999</v>
      </c>
      <c r="E116" s="110"/>
      <c r="F116" s="111"/>
      <c r="G116" s="33"/>
      <c r="H116" s="42"/>
      <c r="I116" s="26">
        <f t="shared" ref="I116" si="25">SUM(C116:H116)</f>
        <v>6.2099999999999991</v>
      </c>
      <c r="J116" s="27" t="s">
        <v>3</v>
      </c>
      <c r="K116" s="33"/>
      <c r="L116" s="26"/>
      <c r="M116" s="104"/>
      <c r="N116" s="106"/>
      <c r="O116" s="73"/>
    </row>
    <row r="117" spans="1:21" s="2" customFormat="1" ht="78.75" customHeight="1" x14ac:dyDescent="0.2">
      <c r="A117" s="66">
        <v>91</v>
      </c>
      <c r="B117" s="57" t="s">
        <v>63</v>
      </c>
      <c r="C117" s="31">
        <f>(5.71*2+3.01)*2.6</f>
        <v>37.518000000000001</v>
      </c>
      <c r="D117" s="31">
        <f>(2.73*2+2.3)*2.6</f>
        <v>20.175999999999998</v>
      </c>
      <c r="E117" s="84"/>
      <c r="F117" s="84"/>
      <c r="G117" s="31">
        <f>(2.51*2)*2.6</f>
        <v>13.052</v>
      </c>
      <c r="H117" s="31">
        <f>(3.01*2.6)-(2.83*1.56)</f>
        <v>3.4111999999999991</v>
      </c>
      <c r="I117" s="26">
        <f t="shared" ref="I117:I118" si="26">SUM(C117:H117)</f>
        <v>74.157200000000003</v>
      </c>
      <c r="J117" s="27" t="s">
        <v>3</v>
      </c>
      <c r="K117" s="26"/>
      <c r="L117" s="26"/>
      <c r="M117" s="104"/>
      <c r="N117" s="106"/>
      <c r="O117" s="67"/>
    </row>
    <row r="118" spans="1:21" s="2" customFormat="1" ht="63.75" x14ac:dyDescent="0.2">
      <c r="A118" s="66">
        <v>92</v>
      </c>
      <c r="B118" s="24" t="s">
        <v>64</v>
      </c>
      <c r="C118" s="31">
        <f>(5.71*2+3.01)*2.6</f>
        <v>37.518000000000001</v>
      </c>
      <c r="D118" s="31">
        <f>(2.73*2+2.3)*2.6</f>
        <v>20.175999999999998</v>
      </c>
      <c r="E118" s="84"/>
      <c r="F118" s="84"/>
      <c r="G118" s="31">
        <f>(2.51*2)*2.6</f>
        <v>13.052</v>
      </c>
      <c r="H118" s="31">
        <f>(3.01*2.6)-(2.83*1.56)</f>
        <v>3.4111999999999991</v>
      </c>
      <c r="I118" s="26">
        <f t="shared" si="26"/>
        <v>74.157200000000003</v>
      </c>
      <c r="J118" s="27" t="s">
        <v>3</v>
      </c>
      <c r="K118" s="26"/>
      <c r="L118" s="26"/>
      <c r="M118" s="104"/>
      <c r="N118" s="106"/>
      <c r="O118" s="67"/>
    </row>
    <row r="119" spans="1:21" s="2" customFormat="1" ht="29.25" customHeight="1" x14ac:dyDescent="0.2">
      <c r="A119" s="66">
        <v>93</v>
      </c>
      <c r="B119" s="24" t="s">
        <v>65</v>
      </c>
      <c r="C119" s="31">
        <f>(5.71*2+3.01)*2.6</f>
        <v>37.518000000000001</v>
      </c>
      <c r="D119" s="31">
        <f>(2.73*2+2.3)*2.6</f>
        <v>20.175999999999998</v>
      </c>
      <c r="E119" s="84"/>
      <c r="F119" s="84"/>
      <c r="G119" s="31">
        <f>(2.51*2)*2.6</f>
        <v>13.052</v>
      </c>
      <c r="H119" s="31">
        <f>(3.01*2.6)-(2.83*1.56)</f>
        <v>3.4111999999999991</v>
      </c>
      <c r="I119" s="26">
        <f t="shared" ref="I119" si="27">SUM(C119:H119)</f>
        <v>74.157200000000003</v>
      </c>
      <c r="J119" s="27" t="s">
        <v>3</v>
      </c>
      <c r="K119" s="26"/>
      <c r="L119" s="26"/>
      <c r="M119" s="104"/>
      <c r="N119" s="106"/>
      <c r="O119" s="67"/>
    </row>
    <row r="120" spans="1:21" s="2" customFormat="1" ht="38.25" customHeight="1" x14ac:dyDescent="0.2">
      <c r="A120" s="66">
        <v>94</v>
      </c>
      <c r="B120" s="24" t="s">
        <v>66</v>
      </c>
      <c r="C120" s="31">
        <f>(5.71*2+3.01)*2.6</f>
        <v>37.518000000000001</v>
      </c>
      <c r="D120" s="31">
        <f>(2.73*2+2.3)*2.6</f>
        <v>20.175999999999998</v>
      </c>
      <c r="E120" s="84"/>
      <c r="F120" s="84"/>
      <c r="G120" s="31">
        <f>(2.51*2)*2.6</f>
        <v>13.052</v>
      </c>
      <c r="H120" s="31">
        <f>(3.01*2.6)-(2.83*1.56)</f>
        <v>3.4111999999999991</v>
      </c>
      <c r="I120" s="26">
        <f t="shared" ref="I120" si="28">SUM(C120:H120)</f>
        <v>74.157200000000003</v>
      </c>
      <c r="J120" s="27" t="s">
        <v>3</v>
      </c>
      <c r="K120" s="26"/>
      <c r="L120" s="26"/>
      <c r="M120" s="104"/>
      <c r="N120" s="106"/>
      <c r="O120" s="67"/>
    </row>
    <row r="121" spans="1:21" s="2" customFormat="1" ht="45" customHeight="1" x14ac:dyDescent="0.2">
      <c r="A121" s="66">
        <v>95</v>
      </c>
      <c r="B121" s="24" t="s">
        <v>67</v>
      </c>
      <c r="C121" s="31">
        <f>(5.71*2+3.01)*2.6</f>
        <v>37.518000000000001</v>
      </c>
      <c r="D121" s="31">
        <f>(2.73*2+2.3)*2.6</f>
        <v>20.175999999999998</v>
      </c>
      <c r="E121" s="84"/>
      <c r="F121" s="84"/>
      <c r="G121" s="31">
        <f>(2.51*2)*2.6</f>
        <v>13.052</v>
      </c>
      <c r="H121" s="31">
        <f>(3.01*2.6)-(2.83*1.56)</f>
        <v>3.4111999999999991</v>
      </c>
      <c r="I121" s="26">
        <f t="shared" ref="I121:I123" si="29">SUM(C121:H121)</f>
        <v>74.157200000000003</v>
      </c>
      <c r="J121" s="27" t="s">
        <v>3</v>
      </c>
      <c r="K121" s="26"/>
      <c r="L121" s="26"/>
      <c r="M121" s="104"/>
      <c r="N121" s="106"/>
      <c r="O121" s="67"/>
    </row>
    <row r="122" spans="1:21" s="2" customFormat="1" ht="38.25" x14ac:dyDescent="0.2">
      <c r="A122" s="66">
        <v>96</v>
      </c>
      <c r="B122" s="24" t="s">
        <v>68</v>
      </c>
      <c r="C122" s="41">
        <f>(5.71*2)+(3.01*2)</f>
        <v>17.439999999999998</v>
      </c>
      <c r="D122" s="41">
        <f>(2.73*2)+(2.3*2)</f>
        <v>10.059999999999999</v>
      </c>
      <c r="E122" s="84">
        <f>(1.9*2)+(2.51*2)</f>
        <v>8.82</v>
      </c>
      <c r="F122" s="84"/>
      <c r="G122" s="41">
        <f>(2.51*2)+(1.38*2)</f>
        <v>7.7799999999999994</v>
      </c>
      <c r="H122" s="37"/>
      <c r="I122" s="26">
        <f t="shared" si="29"/>
        <v>44.099999999999994</v>
      </c>
      <c r="J122" s="27" t="s">
        <v>12</v>
      </c>
      <c r="K122" s="26"/>
      <c r="L122" s="26"/>
      <c r="M122" s="104"/>
      <c r="N122" s="106"/>
      <c r="O122" s="67"/>
    </row>
    <row r="123" spans="1:21" s="2" customFormat="1" ht="27.75" customHeight="1" x14ac:dyDescent="0.2">
      <c r="A123" s="66">
        <v>97</v>
      </c>
      <c r="B123" s="24" t="s">
        <v>106</v>
      </c>
      <c r="C123" s="31">
        <f>(5.71*2+3.01)*2.6</f>
        <v>37.518000000000001</v>
      </c>
      <c r="D123" s="31">
        <f>(2.73*2+2.3)*2.6</f>
        <v>20.175999999999998</v>
      </c>
      <c r="E123" s="84"/>
      <c r="F123" s="84"/>
      <c r="G123" s="31">
        <f>(2.51*2)*2.6</f>
        <v>13.052</v>
      </c>
      <c r="H123" s="31">
        <f>(3.01*2.6)-(2.83*1.56)</f>
        <v>3.4111999999999991</v>
      </c>
      <c r="I123" s="26">
        <f t="shared" si="29"/>
        <v>74.157200000000003</v>
      </c>
      <c r="J123" s="27" t="s">
        <v>3</v>
      </c>
      <c r="K123" s="26"/>
      <c r="L123" s="26"/>
      <c r="M123" s="104"/>
      <c r="N123" s="106"/>
      <c r="O123" s="67"/>
    </row>
    <row r="124" spans="1:21" s="2" customFormat="1" ht="59.25" customHeight="1" x14ac:dyDescent="0.2">
      <c r="A124" s="66">
        <v>98</v>
      </c>
      <c r="B124" s="24" t="s">
        <v>69</v>
      </c>
      <c r="C124" s="31">
        <f>(5.71*2+3.01)*2.6</f>
        <v>37.518000000000001</v>
      </c>
      <c r="D124" s="31">
        <f>(2.73*2+2.3)*2.6</f>
        <v>20.175999999999998</v>
      </c>
      <c r="E124" s="84"/>
      <c r="F124" s="84"/>
      <c r="G124" s="31">
        <f>(2.51*2)*2.6</f>
        <v>13.052</v>
      </c>
      <c r="H124" s="31">
        <f>(3.01*2.6)-(2.83*1.56)</f>
        <v>3.4111999999999991</v>
      </c>
      <c r="I124" s="26">
        <f t="shared" ref="I124" si="30">SUM(C124:H124)</f>
        <v>74.157200000000003</v>
      </c>
      <c r="J124" s="27" t="s">
        <v>3</v>
      </c>
      <c r="K124" s="26"/>
      <c r="L124" s="26"/>
      <c r="M124" s="104"/>
      <c r="N124" s="106"/>
      <c r="O124" s="67"/>
      <c r="U124" s="15"/>
    </row>
    <row r="125" spans="1:21" s="2" customFormat="1" x14ac:dyDescent="0.2">
      <c r="A125" s="66"/>
      <c r="B125" s="93" t="s">
        <v>14</v>
      </c>
      <c r="C125" s="94"/>
      <c r="D125" s="94"/>
      <c r="E125" s="94"/>
      <c r="F125" s="94"/>
      <c r="G125" s="94"/>
      <c r="H125" s="94"/>
      <c r="I125" s="94"/>
      <c r="J125" s="94"/>
      <c r="K125" s="95"/>
      <c r="L125" s="40">
        <f>SUM(L117:L124)</f>
        <v>0</v>
      </c>
      <c r="M125" s="104"/>
      <c r="N125" s="106"/>
      <c r="O125" s="67"/>
    </row>
    <row r="126" spans="1:21" s="2" customFormat="1" ht="18.75" customHeight="1" x14ac:dyDescent="0.2">
      <c r="A126" s="66"/>
      <c r="B126" s="21" t="s">
        <v>152</v>
      </c>
      <c r="C126" s="104"/>
      <c r="D126" s="105"/>
      <c r="E126" s="105"/>
      <c r="F126" s="105"/>
      <c r="G126" s="105"/>
      <c r="H126" s="105"/>
      <c r="I126" s="105"/>
      <c r="J126" s="105"/>
      <c r="K126" s="105"/>
      <c r="L126" s="106"/>
      <c r="M126" s="107"/>
      <c r="N126" s="107"/>
      <c r="O126" s="68"/>
    </row>
    <row r="127" spans="1:21" s="2" customFormat="1" ht="81.75" customHeight="1" x14ac:dyDescent="0.2">
      <c r="A127" s="66">
        <v>99</v>
      </c>
      <c r="B127" s="24" t="s">
        <v>136</v>
      </c>
      <c r="C127" s="26">
        <v>1</v>
      </c>
      <c r="D127" s="26">
        <v>1</v>
      </c>
      <c r="E127" s="84"/>
      <c r="F127" s="84"/>
      <c r="G127" s="26"/>
      <c r="H127" s="26"/>
      <c r="I127" s="26">
        <f>SUM(C127:H127)</f>
        <v>2</v>
      </c>
      <c r="J127" s="27" t="s">
        <v>4</v>
      </c>
      <c r="K127" s="26"/>
      <c r="L127" s="26"/>
      <c r="M127" s="101"/>
      <c r="N127" s="102"/>
      <c r="O127" s="103"/>
    </row>
    <row r="128" spans="1:21" s="2" customFormat="1" ht="20.25" customHeight="1" x14ac:dyDescent="0.2">
      <c r="A128" s="66"/>
      <c r="B128" s="38" t="s">
        <v>90</v>
      </c>
      <c r="C128" s="104"/>
      <c r="D128" s="105"/>
      <c r="E128" s="105"/>
      <c r="F128" s="105"/>
      <c r="G128" s="105"/>
      <c r="H128" s="105"/>
      <c r="I128" s="105"/>
      <c r="J128" s="105"/>
      <c r="K128" s="105"/>
      <c r="L128" s="106"/>
      <c r="M128" s="107"/>
      <c r="N128" s="107"/>
      <c r="O128" s="68"/>
    </row>
    <row r="129" spans="1:15" s="2" customFormat="1" ht="43.5" customHeight="1" x14ac:dyDescent="0.2">
      <c r="A129" s="66">
        <v>100</v>
      </c>
      <c r="B129" s="58" t="s">
        <v>105</v>
      </c>
      <c r="C129" s="23"/>
      <c r="D129" s="23"/>
      <c r="E129" s="104"/>
      <c r="F129" s="106"/>
      <c r="G129" s="23"/>
      <c r="H129" s="41">
        <f>(0.63*1*2)+(3.01*1)+0.7</f>
        <v>4.97</v>
      </c>
      <c r="I129" s="26">
        <f>SUM(C129:H129)</f>
        <v>4.97</v>
      </c>
      <c r="J129" s="27" t="s">
        <v>3</v>
      </c>
      <c r="K129" s="33"/>
      <c r="L129" s="26"/>
      <c r="M129" s="82"/>
      <c r="N129" s="83"/>
      <c r="O129" s="67"/>
    </row>
    <row r="130" spans="1:15" s="2" customFormat="1" ht="31.5" customHeight="1" x14ac:dyDescent="0.2">
      <c r="A130" s="66">
        <v>101</v>
      </c>
      <c r="B130" s="59" t="s">
        <v>97</v>
      </c>
      <c r="C130" s="23"/>
      <c r="D130" s="23"/>
      <c r="E130" s="104"/>
      <c r="F130" s="106"/>
      <c r="G130" s="23"/>
      <c r="H130" s="41">
        <f>(0.63*2)+3.01</f>
        <v>4.2699999999999996</v>
      </c>
      <c r="I130" s="26">
        <f>SUM(C130:H130)</f>
        <v>4.2699999999999996</v>
      </c>
      <c r="J130" s="27" t="s">
        <v>3</v>
      </c>
      <c r="K130" s="33"/>
      <c r="L130" s="26"/>
      <c r="M130" s="82"/>
      <c r="N130" s="83"/>
      <c r="O130" s="67"/>
    </row>
    <row r="131" spans="1:15" s="2" customFormat="1" ht="30.75" customHeight="1" x14ac:dyDescent="0.2">
      <c r="A131" s="66">
        <v>102</v>
      </c>
      <c r="B131" s="58" t="s">
        <v>95</v>
      </c>
      <c r="C131" s="23"/>
      <c r="D131" s="23"/>
      <c r="E131" s="104"/>
      <c r="F131" s="106"/>
      <c r="G131" s="23"/>
      <c r="H131" s="41">
        <v>0.7</v>
      </c>
      <c r="I131" s="26">
        <f>SUM(C131:H131)</f>
        <v>0.7</v>
      </c>
      <c r="J131" s="27" t="s">
        <v>3</v>
      </c>
      <c r="K131" s="33"/>
      <c r="L131" s="26"/>
      <c r="M131" s="82"/>
      <c r="N131" s="83"/>
      <c r="O131" s="67"/>
    </row>
    <row r="132" spans="1:15" s="2" customFormat="1" ht="46.5" customHeight="1" x14ac:dyDescent="0.2">
      <c r="A132" s="66">
        <v>103</v>
      </c>
      <c r="B132" s="59" t="s">
        <v>96</v>
      </c>
      <c r="C132" s="23"/>
      <c r="D132" s="23"/>
      <c r="E132" s="104"/>
      <c r="F132" s="106"/>
      <c r="G132" s="23"/>
      <c r="H132" s="41">
        <f>(0.63*2*2.6)+(3.01*2*1)</f>
        <v>9.2959999999999994</v>
      </c>
      <c r="I132" s="26">
        <f t="shared" ref="I132:I134" si="31">SUM(C132:H132)</f>
        <v>9.2959999999999994</v>
      </c>
      <c r="J132" s="27" t="s">
        <v>3</v>
      </c>
      <c r="K132" s="33"/>
      <c r="L132" s="26"/>
      <c r="M132" s="82"/>
      <c r="N132" s="83"/>
      <c r="O132" s="67"/>
    </row>
    <row r="133" spans="1:15" s="2" customFormat="1" ht="51.75" customHeight="1" x14ac:dyDescent="0.2">
      <c r="A133" s="66">
        <v>104</v>
      </c>
      <c r="B133" s="24" t="s">
        <v>137</v>
      </c>
      <c r="C133" s="26"/>
      <c r="D133" s="26"/>
      <c r="E133" s="84"/>
      <c r="F133" s="84"/>
      <c r="G133" s="26">
        <v>1</v>
      </c>
      <c r="H133" s="26"/>
      <c r="I133" s="26">
        <f t="shared" si="31"/>
        <v>1</v>
      </c>
      <c r="J133" s="27" t="s">
        <v>4</v>
      </c>
      <c r="K133" s="26"/>
      <c r="L133" s="26"/>
      <c r="M133" s="101"/>
      <c r="N133" s="102"/>
      <c r="O133" s="103"/>
    </row>
    <row r="134" spans="1:15" s="2" customFormat="1" ht="81" customHeight="1" x14ac:dyDescent="0.2">
      <c r="A134" s="66">
        <v>105</v>
      </c>
      <c r="B134" s="24" t="s">
        <v>151</v>
      </c>
      <c r="C134" s="25"/>
      <c r="D134" s="26">
        <v>1</v>
      </c>
      <c r="E134" s="112">
        <v>1</v>
      </c>
      <c r="F134" s="112"/>
      <c r="G134" s="33"/>
      <c r="H134" s="42"/>
      <c r="I134" s="26">
        <f t="shared" si="31"/>
        <v>2</v>
      </c>
      <c r="J134" s="27" t="s">
        <v>4</v>
      </c>
      <c r="K134" s="26"/>
      <c r="L134" s="26"/>
      <c r="M134" s="82"/>
      <c r="N134" s="83"/>
      <c r="O134" s="67"/>
    </row>
    <row r="135" spans="1:15" s="2" customFormat="1" ht="38.25" customHeight="1" x14ac:dyDescent="0.2">
      <c r="A135" s="66">
        <v>106</v>
      </c>
      <c r="B135" s="60" t="s">
        <v>119</v>
      </c>
      <c r="C135" s="23"/>
      <c r="D135" s="23"/>
      <c r="E135" s="104"/>
      <c r="F135" s="106"/>
      <c r="G135" s="23"/>
      <c r="H135" s="49"/>
      <c r="I135" s="23"/>
      <c r="J135" s="50"/>
      <c r="K135" s="23"/>
      <c r="L135" s="23"/>
      <c r="M135" s="107"/>
      <c r="N135" s="107"/>
      <c r="O135" s="68"/>
    </row>
    <row r="136" spans="1:15" s="2" customFormat="1" ht="65.25" customHeight="1" x14ac:dyDescent="0.2">
      <c r="A136" s="66">
        <v>107</v>
      </c>
      <c r="B136" s="32" t="s">
        <v>70</v>
      </c>
      <c r="C136" s="31">
        <v>17.5</v>
      </c>
      <c r="D136" s="31">
        <v>5.6</v>
      </c>
      <c r="E136" s="131"/>
      <c r="F136" s="131"/>
      <c r="G136" s="31">
        <v>3.2</v>
      </c>
      <c r="H136" s="41">
        <v>0.7</v>
      </c>
      <c r="I136" s="26">
        <f t="shared" ref="I136:I139" si="32">SUM(C136:H136)</f>
        <v>27</v>
      </c>
      <c r="J136" s="27" t="s">
        <v>3</v>
      </c>
      <c r="K136" s="26"/>
      <c r="L136" s="26"/>
      <c r="M136" s="82"/>
      <c r="N136" s="83"/>
      <c r="O136" s="67"/>
    </row>
    <row r="137" spans="1:15" s="2" customFormat="1" ht="114.75" x14ac:dyDescent="0.2">
      <c r="A137" s="66">
        <v>108</v>
      </c>
      <c r="B137" s="24" t="s">
        <v>71</v>
      </c>
      <c r="C137" s="31">
        <v>17.5</v>
      </c>
      <c r="D137" s="31">
        <v>5.6</v>
      </c>
      <c r="E137" s="131"/>
      <c r="F137" s="131"/>
      <c r="G137" s="31">
        <v>3.2</v>
      </c>
      <c r="H137" s="41">
        <v>0.7</v>
      </c>
      <c r="I137" s="26">
        <f t="shared" si="32"/>
        <v>27</v>
      </c>
      <c r="J137" s="27" t="s">
        <v>3</v>
      </c>
      <c r="K137" s="26"/>
      <c r="L137" s="26"/>
      <c r="M137" s="82"/>
      <c r="N137" s="83"/>
      <c r="O137" s="68"/>
    </row>
    <row r="138" spans="1:15" s="2" customFormat="1" ht="66.75" customHeight="1" x14ac:dyDescent="0.2">
      <c r="A138" s="66">
        <v>109</v>
      </c>
      <c r="B138" s="24" t="s">
        <v>72</v>
      </c>
      <c r="C138" s="31">
        <v>17.5</v>
      </c>
      <c r="D138" s="31">
        <v>5.6</v>
      </c>
      <c r="E138" s="131"/>
      <c r="F138" s="131"/>
      <c r="G138" s="31">
        <v>3.2</v>
      </c>
      <c r="H138" s="41">
        <v>0.7</v>
      </c>
      <c r="I138" s="26">
        <f t="shared" si="32"/>
        <v>27</v>
      </c>
      <c r="J138" s="27" t="s">
        <v>3</v>
      </c>
      <c r="K138" s="26"/>
      <c r="L138" s="26"/>
      <c r="M138" s="82"/>
      <c r="N138" s="83"/>
      <c r="O138" s="68"/>
    </row>
    <row r="139" spans="1:15" s="2" customFormat="1" ht="92.25" customHeight="1" x14ac:dyDescent="0.2">
      <c r="A139" s="66">
        <v>110</v>
      </c>
      <c r="B139" s="24" t="s">
        <v>74</v>
      </c>
      <c r="C139" s="31">
        <v>17.5</v>
      </c>
      <c r="D139" s="31">
        <v>5.6</v>
      </c>
      <c r="E139" s="131"/>
      <c r="F139" s="131"/>
      <c r="G139" s="31">
        <v>3.2</v>
      </c>
      <c r="H139" s="41">
        <v>0.7</v>
      </c>
      <c r="I139" s="26">
        <f t="shared" si="32"/>
        <v>27</v>
      </c>
      <c r="J139" s="27" t="s">
        <v>3</v>
      </c>
      <c r="K139" s="26"/>
      <c r="L139" s="26"/>
      <c r="M139" s="82"/>
      <c r="N139" s="83"/>
      <c r="O139" s="68"/>
    </row>
    <row r="140" spans="1:15" s="2" customFormat="1" ht="25.5" x14ac:dyDescent="0.2">
      <c r="A140" s="66">
        <v>111</v>
      </c>
      <c r="B140" s="24" t="s">
        <v>73</v>
      </c>
      <c r="C140" s="41">
        <f>(5.71*2)+(3.01*2)</f>
        <v>17.439999999999998</v>
      </c>
      <c r="D140" s="41">
        <f>(2.73*2)+(2.3*2)</f>
        <v>10.059999999999999</v>
      </c>
      <c r="E140" s="84"/>
      <c r="F140" s="84"/>
      <c r="G140" s="41">
        <f>(2.51*2)+(1.38*2)</f>
        <v>7.7799999999999994</v>
      </c>
      <c r="H140" s="41">
        <f>(3.01*2)+(0.63*2)</f>
        <v>7.2799999999999994</v>
      </c>
      <c r="I140" s="26">
        <f t="shared" ref="I140" si="33">SUM(C140:H140)</f>
        <v>42.559999999999995</v>
      </c>
      <c r="J140" s="27" t="s">
        <v>12</v>
      </c>
      <c r="K140" s="26"/>
      <c r="L140" s="26"/>
      <c r="M140" s="82"/>
      <c r="N140" s="83"/>
      <c r="O140" s="67"/>
    </row>
    <row r="141" spans="1:15" s="2" customFormat="1" ht="39.75" customHeight="1" x14ac:dyDescent="0.2">
      <c r="A141" s="66">
        <v>112</v>
      </c>
      <c r="B141" s="24" t="s">
        <v>89</v>
      </c>
      <c r="C141" s="26">
        <v>1</v>
      </c>
      <c r="D141" s="26">
        <v>1</v>
      </c>
      <c r="E141" s="108"/>
      <c r="F141" s="109"/>
      <c r="G141" s="33"/>
      <c r="H141" s="42"/>
      <c r="I141" s="26">
        <f>SUM(C141:H141)</f>
        <v>2</v>
      </c>
      <c r="J141" s="27" t="s">
        <v>4</v>
      </c>
      <c r="K141" s="26"/>
      <c r="L141" s="26"/>
      <c r="M141" s="82"/>
      <c r="N141" s="83"/>
      <c r="O141" s="67"/>
    </row>
    <row r="142" spans="1:15" s="2" customFormat="1" ht="17.25" customHeight="1" x14ac:dyDescent="0.2">
      <c r="A142" s="66"/>
      <c r="B142" s="93" t="s">
        <v>14</v>
      </c>
      <c r="C142" s="94"/>
      <c r="D142" s="94"/>
      <c r="E142" s="94"/>
      <c r="F142" s="94"/>
      <c r="G142" s="94"/>
      <c r="H142" s="94"/>
      <c r="I142" s="94"/>
      <c r="J142" s="94"/>
      <c r="K142" s="95"/>
      <c r="L142" s="40">
        <f>SUM(L127:L141)</f>
        <v>0</v>
      </c>
      <c r="M142" s="82"/>
      <c r="N142" s="83"/>
      <c r="O142" s="67"/>
    </row>
    <row r="143" spans="1:15" s="2" customFormat="1" ht="20.25" customHeight="1" x14ac:dyDescent="0.2">
      <c r="A143" s="66"/>
      <c r="B143" s="21" t="s">
        <v>75</v>
      </c>
      <c r="C143" s="82"/>
      <c r="D143" s="98"/>
      <c r="E143" s="98"/>
      <c r="F143" s="98"/>
      <c r="G143" s="98"/>
      <c r="H143" s="98"/>
      <c r="I143" s="98"/>
      <c r="J143" s="98"/>
      <c r="K143" s="98"/>
      <c r="L143" s="83"/>
      <c r="M143" s="107"/>
      <c r="N143" s="107"/>
      <c r="O143" s="68"/>
    </row>
    <row r="144" spans="1:15" s="2" customFormat="1" ht="27.75" customHeight="1" x14ac:dyDescent="0.2">
      <c r="A144" s="66">
        <v>113</v>
      </c>
      <c r="B144" s="35" t="s">
        <v>9</v>
      </c>
      <c r="C144" s="26">
        <v>0.9</v>
      </c>
      <c r="D144" s="26">
        <v>0.25</v>
      </c>
      <c r="E144" s="84">
        <v>0.35</v>
      </c>
      <c r="F144" s="84"/>
      <c r="G144" s="26">
        <v>0.25</v>
      </c>
      <c r="H144" s="46"/>
      <c r="I144" s="26">
        <f>SUM(C144:H144)</f>
        <v>1.75</v>
      </c>
      <c r="J144" s="27" t="s">
        <v>13</v>
      </c>
      <c r="K144" s="26"/>
      <c r="L144" s="26"/>
      <c r="M144" s="82"/>
      <c r="N144" s="83"/>
      <c r="O144" s="67"/>
    </row>
    <row r="145" spans="1:15" s="2" customFormat="1" ht="27.75" customHeight="1" x14ac:dyDescent="0.2">
      <c r="A145" s="66">
        <v>114</v>
      </c>
      <c r="B145" s="32" t="s">
        <v>120</v>
      </c>
      <c r="C145" s="26">
        <v>0.75</v>
      </c>
      <c r="D145" s="26">
        <v>0.25</v>
      </c>
      <c r="E145" s="84">
        <v>0.2</v>
      </c>
      <c r="F145" s="84"/>
      <c r="G145" s="26">
        <v>0.3</v>
      </c>
      <c r="H145" s="46"/>
      <c r="I145" s="26">
        <f>SUM(C145:H145)</f>
        <v>1.5</v>
      </c>
      <c r="J145" s="27" t="s">
        <v>13</v>
      </c>
      <c r="K145" s="26"/>
      <c r="L145" s="26"/>
      <c r="M145" s="82"/>
      <c r="N145" s="83"/>
      <c r="O145" s="67"/>
    </row>
    <row r="146" spans="1:15" s="2" customFormat="1" ht="42" customHeight="1" x14ac:dyDescent="0.2">
      <c r="A146" s="66">
        <v>115</v>
      </c>
      <c r="B146" s="32" t="s">
        <v>156</v>
      </c>
      <c r="C146" s="26">
        <v>0.75</v>
      </c>
      <c r="D146" s="26">
        <v>0.25</v>
      </c>
      <c r="E146" s="84">
        <v>0.2</v>
      </c>
      <c r="F146" s="84"/>
      <c r="G146" s="26">
        <v>0.3</v>
      </c>
      <c r="H146" s="46"/>
      <c r="I146" s="26">
        <f>SUM(C146:H146)</f>
        <v>1.5</v>
      </c>
      <c r="J146" s="27" t="s">
        <v>13</v>
      </c>
      <c r="K146" s="26"/>
      <c r="L146" s="26"/>
      <c r="M146" s="82"/>
      <c r="N146" s="83"/>
      <c r="O146" s="67"/>
    </row>
    <row r="147" spans="1:15" s="2" customFormat="1" ht="69.75" customHeight="1" x14ac:dyDescent="0.2">
      <c r="A147" s="66">
        <v>116</v>
      </c>
      <c r="B147" s="51" t="s">
        <v>82</v>
      </c>
      <c r="C147" s="26">
        <v>17.5</v>
      </c>
      <c r="D147" s="26">
        <v>5.6</v>
      </c>
      <c r="E147" s="112">
        <v>4.8</v>
      </c>
      <c r="F147" s="112"/>
      <c r="G147" s="26">
        <v>3.2</v>
      </c>
      <c r="H147" s="46">
        <v>0.7</v>
      </c>
      <c r="I147" s="26">
        <f>SUM(C147:H147)</f>
        <v>31.8</v>
      </c>
      <c r="J147" s="27" t="s">
        <v>33</v>
      </c>
      <c r="K147" s="26"/>
      <c r="L147" s="26"/>
      <c r="M147" s="82"/>
      <c r="N147" s="83"/>
      <c r="O147" s="67"/>
    </row>
    <row r="148" spans="1:15" s="2" customFormat="1" ht="77.25" customHeight="1" thickBot="1" x14ac:dyDescent="0.25">
      <c r="A148" s="66">
        <v>117</v>
      </c>
      <c r="B148" s="75" t="s">
        <v>161</v>
      </c>
      <c r="C148" s="76"/>
      <c r="D148" s="76"/>
      <c r="E148" s="99"/>
      <c r="F148" s="100"/>
      <c r="G148" s="77"/>
      <c r="H148" s="78"/>
      <c r="I148" s="76"/>
      <c r="J148" s="79"/>
      <c r="K148" s="76"/>
      <c r="L148" s="76"/>
      <c r="M148" s="96"/>
      <c r="N148" s="96"/>
      <c r="O148" s="80"/>
    </row>
    <row r="149" spans="1:15" s="2" customFormat="1" ht="21" customHeight="1" thickBot="1" x14ac:dyDescent="0.25">
      <c r="A149" s="85" t="s">
        <v>14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7"/>
      <c r="L149" s="63">
        <f>SUM(L144:L148)</f>
        <v>0</v>
      </c>
      <c r="M149" s="97"/>
      <c r="N149" s="97"/>
      <c r="O149" s="18"/>
    </row>
    <row r="150" spans="1:15" s="2" customFormat="1" ht="27.75" customHeight="1" thickBot="1" x14ac:dyDescent="0.25">
      <c r="A150" s="88" t="s">
        <v>159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90"/>
      <c r="L150" s="63">
        <f>L32+L45+L67+L94+L103+L114+L125+L142+L149</f>
        <v>0</v>
      </c>
      <c r="M150" s="62"/>
      <c r="N150" s="62"/>
      <c r="O150" s="18"/>
    </row>
    <row r="151" spans="1:15" x14ac:dyDescent="0.2">
      <c r="H151" s="3"/>
    </row>
    <row r="152" spans="1:15" x14ac:dyDescent="0.2">
      <c r="B152" s="7" t="s">
        <v>24</v>
      </c>
    </row>
    <row r="153" spans="1:15" ht="30.75" customHeight="1" x14ac:dyDescent="0.2">
      <c r="B153" s="128" t="s">
        <v>124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</row>
    <row r="154" spans="1:15" ht="42" customHeight="1" x14ac:dyDescent="0.2">
      <c r="B154" s="128" t="s">
        <v>160</v>
      </c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</row>
    <row r="155" spans="1:15" ht="42" customHeight="1" x14ac:dyDescent="0.2">
      <c r="B155" s="128" t="s">
        <v>163</v>
      </c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</row>
  </sheetData>
  <mergeCells count="286">
    <mergeCell ref="P20:Q20"/>
    <mergeCell ref="E122:F122"/>
    <mergeCell ref="E123:F123"/>
    <mergeCell ref="E124:F124"/>
    <mergeCell ref="E147:F147"/>
    <mergeCell ref="A4:B4"/>
    <mergeCell ref="E10:F10"/>
    <mergeCell ref="K8:K10"/>
    <mergeCell ref="L8:L10"/>
    <mergeCell ref="M8:O8"/>
    <mergeCell ref="B8:B10"/>
    <mergeCell ref="C8:H8"/>
    <mergeCell ref="I8:I10"/>
    <mergeCell ref="J8:J10"/>
    <mergeCell ref="C9:C10"/>
    <mergeCell ref="D9:D10"/>
    <mergeCell ref="H9:H10"/>
    <mergeCell ref="O9:O10"/>
    <mergeCell ref="M9:M10"/>
    <mergeCell ref="N9:N10"/>
    <mergeCell ref="E6:N6"/>
    <mergeCell ref="A8:A10"/>
    <mergeCell ref="E118:F118"/>
    <mergeCell ref="E48:F48"/>
    <mergeCell ref="E58:F58"/>
    <mergeCell ref="E51:F51"/>
    <mergeCell ref="E53:F53"/>
    <mergeCell ref="E57:F57"/>
    <mergeCell ref="E50:F50"/>
    <mergeCell ref="E55:F55"/>
    <mergeCell ref="E72:F72"/>
    <mergeCell ref="E80:F80"/>
    <mergeCell ref="E83:F83"/>
    <mergeCell ref="E82:F82"/>
    <mergeCell ref="E63:F63"/>
    <mergeCell ref="E64:F64"/>
    <mergeCell ref="E23:F23"/>
    <mergeCell ref="E30:F30"/>
    <mergeCell ref="E101:F101"/>
    <mergeCell ref="E146:F146"/>
    <mergeCell ref="E47:F47"/>
    <mergeCell ref="E109:F109"/>
    <mergeCell ref="E44:F44"/>
    <mergeCell ref="E31:F31"/>
    <mergeCell ref="E43:F43"/>
    <mergeCell ref="E81:F81"/>
    <mergeCell ref="E69:F69"/>
    <mergeCell ref="E70:F70"/>
    <mergeCell ref="E71:F71"/>
    <mergeCell ref="E75:F75"/>
    <mergeCell ref="E76:F76"/>
    <mergeCell ref="E77:F77"/>
    <mergeCell ref="E78:F78"/>
    <mergeCell ref="E79:F79"/>
    <mergeCell ref="E102:F102"/>
    <mergeCell ref="E145:F145"/>
    <mergeCell ref="E117:F117"/>
    <mergeCell ref="E98:F98"/>
    <mergeCell ref="E100:F100"/>
    <mergeCell ref="E119:F119"/>
    <mergeCell ref="E84:F84"/>
    <mergeCell ref="E73:F73"/>
    <mergeCell ref="E74:F74"/>
    <mergeCell ref="E85:F85"/>
    <mergeCell ref="E87:F87"/>
    <mergeCell ref="E93:F93"/>
    <mergeCell ref="E88:F88"/>
    <mergeCell ref="E89:F89"/>
    <mergeCell ref="E90:F90"/>
    <mergeCell ref="E91:F91"/>
    <mergeCell ref="E92:F92"/>
    <mergeCell ref="E86:F86"/>
    <mergeCell ref="B153:O153"/>
    <mergeCell ref="B154:O154"/>
    <mergeCell ref="B155:O155"/>
    <mergeCell ref="E52:F52"/>
    <mergeCell ref="E49:F49"/>
    <mergeCell ref="E56:F56"/>
    <mergeCell ref="E54:F54"/>
    <mergeCell ref="E59:F59"/>
    <mergeCell ref="E136:F136"/>
    <mergeCell ref="E137:F137"/>
    <mergeCell ref="E138:F138"/>
    <mergeCell ref="E139:F139"/>
    <mergeCell ref="E140:F140"/>
    <mergeCell ref="E97:F97"/>
    <mergeCell ref="E99:F99"/>
    <mergeCell ref="E106:F106"/>
    <mergeCell ref="E108:F108"/>
    <mergeCell ref="E111:F111"/>
    <mergeCell ref="E112:F112"/>
    <mergeCell ref="E113:F113"/>
    <mergeCell ref="E107:F107"/>
    <mergeCell ref="E110:F110"/>
    <mergeCell ref="E120:F120"/>
    <mergeCell ref="E121:F121"/>
    <mergeCell ref="M11:N11"/>
    <mergeCell ref="M33:N33"/>
    <mergeCell ref="M46:N46"/>
    <mergeCell ref="M68:N68"/>
    <mergeCell ref="M95:N95"/>
    <mergeCell ref="M104:N104"/>
    <mergeCell ref="M126:N126"/>
    <mergeCell ref="M143:N143"/>
    <mergeCell ref="C4:K4"/>
    <mergeCell ref="B5:L5"/>
    <mergeCell ref="C33:L33"/>
    <mergeCell ref="C46:L46"/>
    <mergeCell ref="C68:L68"/>
    <mergeCell ref="M13:N13"/>
    <mergeCell ref="M14:N14"/>
    <mergeCell ref="M15:N15"/>
    <mergeCell ref="M16:N16"/>
    <mergeCell ref="M17:N17"/>
    <mergeCell ref="E133:F133"/>
    <mergeCell ref="E60:F60"/>
    <mergeCell ref="E61:F61"/>
    <mergeCell ref="E65:F65"/>
    <mergeCell ref="E66:F66"/>
    <mergeCell ref="E62:F62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58:N58"/>
    <mergeCell ref="M59:N59"/>
    <mergeCell ref="M60:N60"/>
    <mergeCell ref="M61:N61"/>
    <mergeCell ref="M62:N62"/>
    <mergeCell ref="M63:N63"/>
    <mergeCell ref="M64:N64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65:N65"/>
    <mergeCell ref="M66:N66"/>
    <mergeCell ref="M67:N67"/>
    <mergeCell ref="B11:L11"/>
    <mergeCell ref="C12:L12"/>
    <mergeCell ref="B95:L95"/>
    <mergeCell ref="C96:L96"/>
    <mergeCell ref="M96:N96"/>
    <mergeCell ref="M79:N79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M89:N89"/>
    <mergeCell ref="M90:N90"/>
    <mergeCell ref="M91:N91"/>
    <mergeCell ref="M92:N92"/>
    <mergeCell ref="M56:N56"/>
    <mergeCell ref="M57:N57"/>
    <mergeCell ref="M78:N78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97:N97"/>
    <mergeCell ref="M98:N98"/>
    <mergeCell ref="M99:N99"/>
    <mergeCell ref="M100:N100"/>
    <mergeCell ref="M101:N101"/>
    <mergeCell ref="M102:N102"/>
    <mergeCell ref="M103:N103"/>
    <mergeCell ref="M93:N93"/>
    <mergeCell ref="M94:N94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M113:N113"/>
    <mergeCell ref="C104:L104"/>
    <mergeCell ref="C105:L105"/>
    <mergeCell ref="M131:N131"/>
    <mergeCell ref="M132:N132"/>
    <mergeCell ref="M134:N134"/>
    <mergeCell ref="M135:N135"/>
    <mergeCell ref="M136:N136"/>
    <mergeCell ref="M137:N137"/>
    <mergeCell ref="M116:N116"/>
    <mergeCell ref="M117:N117"/>
    <mergeCell ref="M118:N118"/>
    <mergeCell ref="E116:F116"/>
    <mergeCell ref="M119:N119"/>
    <mergeCell ref="M120:N120"/>
    <mergeCell ref="M121:N121"/>
    <mergeCell ref="M114:N114"/>
    <mergeCell ref="M115:N115"/>
    <mergeCell ref="C115:L115"/>
    <mergeCell ref="E134:F134"/>
    <mergeCell ref="E127:F127"/>
    <mergeCell ref="E135:F135"/>
    <mergeCell ref="M122:N122"/>
    <mergeCell ref="M123:N123"/>
    <mergeCell ref="M124:N124"/>
    <mergeCell ref="M125:N125"/>
    <mergeCell ref="M128:N128"/>
    <mergeCell ref="M129:N129"/>
    <mergeCell ref="M130:N130"/>
    <mergeCell ref="C126:L126"/>
    <mergeCell ref="E132:F132"/>
    <mergeCell ref="M133:O133"/>
    <mergeCell ref="M142:N142"/>
    <mergeCell ref="E141:F141"/>
    <mergeCell ref="E130:F130"/>
    <mergeCell ref="E131:F131"/>
    <mergeCell ref="M139:N139"/>
    <mergeCell ref="M140:N140"/>
    <mergeCell ref="M141:N141"/>
    <mergeCell ref="M144:N144"/>
    <mergeCell ref="M145:N145"/>
    <mergeCell ref="E144:F144"/>
    <mergeCell ref="A149:K149"/>
    <mergeCell ref="A150:K150"/>
    <mergeCell ref="M138:N138"/>
    <mergeCell ref="M12:N12"/>
    <mergeCell ref="B94:K94"/>
    <mergeCell ref="B32:K32"/>
    <mergeCell ref="B45:K45"/>
    <mergeCell ref="B67:K67"/>
    <mergeCell ref="B103:K103"/>
    <mergeCell ref="B114:K114"/>
    <mergeCell ref="B125:K125"/>
    <mergeCell ref="B142:K142"/>
    <mergeCell ref="M146:N146"/>
    <mergeCell ref="M147:N147"/>
    <mergeCell ref="M148:N148"/>
    <mergeCell ref="M149:N149"/>
    <mergeCell ref="C143:L143"/>
    <mergeCell ref="E148:F148"/>
    <mergeCell ref="M127:O127"/>
    <mergeCell ref="C128:L128"/>
    <mergeCell ref="E129:F12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ColWidth="8.85546875" defaultRowHeight="12.75" x14ac:dyDescent="0.2"/>
  <sheetData/>
  <phoneticPr fontId="0" type="noConversion"/>
  <pageMargins left="0.16" right="0.16" top="0.2" bottom="0.22" header="0.16" footer="0.16"/>
  <pageSetup paperSize="9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1" sqref="S31"/>
    </sheetView>
  </sheetViews>
  <sheetFormatPr defaultColWidth="8.85546875" defaultRowHeight="12.75" x14ac:dyDescent="0.2"/>
  <sheetData/>
  <phoneticPr fontId="0" type="noConversion"/>
  <pageMargins left="0.16" right="0.16" top="0.28000000000000003" bottom="0.2" header="0.17" footer="0.16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на работы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2018-09-09T01:15:21Z</cp:lastPrinted>
  <dcterms:created xsi:type="dcterms:W3CDTF">1996-10-08T23:32:33Z</dcterms:created>
  <dcterms:modified xsi:type="dcterms:W3CDTF">2018-09-13T14:43:06Z</dcterms:modified>
</cp:coreProperties>
</file>