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610" windowHeight="11640" tabRatio="741"/>
  </bookViews>
  <sheets>
    <sheet name="Смета по ДВ" sheetId="7" r:id="rId1"/>
  </sheets>
  <calcPr calcId="145621"/>
</workbook>
</file>

<file path=xl/calcChain.xml><?xml version="1.0" encoding="utf-8"?>
<calcChain xmlns="http://schemas.openxmlformats.org/spreadsheetml/2006/main">
  <c r="G4" i="7" l="1"/>
  <c r="H4" i="7"/>
  <c r="G7" i="7"/>
  <c r="H7" i="7"/>
  <c r="H8" i="7"/>
  <c r="H9" i="7"/>
  <c r="G10" i="7"/>
  <c r="H10" i="7"/>
  <c r="G13" i="7"/>
  <c r="H13" i="7"/>
  <c r="I13" i="7"/>
  <c r="G14" i="7"/>
  <c r="H14" i="7"/>
  <c r="I14" i="7" s="1"/>
  <c r="G15" i="7"/>
  <c r="H15" i="7"/>
  <c r="G19" i="7"/>
  <c r="H19" i="7"/>
  <c r="I19" i="7" s="1"/>
  <c r="H20" i="7"/>
  <c r="G22" i="7"/>
  <c r="H22" i="7"/>
  <c r="I22" i="7" s="1"/>
  <c r="G25" i="7"/>
  <c r="I25" i="7" s="1"/>
  <c r="H25" i="7"/>
  <c r="H26" i="7"/>
  <c r="G28" i="7"/>
  <c r="H28" i="7"/>
  <c r="I28" i="7" s="1"/>
  <c r="G29" i="7"/>
  <c r="H29" i="7"/>
  <c r="G38" i="7"/>
  <c r="H38" i="7"/>
  <c r="G41" i="7"/>
  <c r="H41" i="7"/>
  <c r="H44" i="7"/>
  <c r="G45" i="7"/>
  <c r="H45" i="7"/>
  <c r="G46" i="7"/>
  <c r="H47" i="7"/>
  <c r="G48" i="7"/>
  <c r="H48" i="7"/>
  <c r="G49" i="7"/>
  <c r="H49" i="7"/>
  <c r="H50" i="7"/>
  <c r="H51" i="7"/>
  <c r="G52" i="7"/>
  <c r="H52" i="7"/>
  <c r="I52" i="7" s="1"/>
  <c r="G53" i="7"/>
  <c r="H53" i="7"/>
  <c r="H54" i="7"/>
  <c r="G56" i="7"/>
  <c r="H56" i="7"/>
  <c r="H57" i="7"/>
  <c r="H58" i="7"/>
  <c r="G59" i="7"/>
  <c r="H59" i="7"/>
  <c r="I59" i="7" s="1"/>
  <c r="H60" i="7"/>
  <c r="H61" i="7"/>
  <c r="G62" i="7"/>
  <c r="H62" i="7"/>
  <c r="G65" i="7"/>
  <c r="H65" i="7"/>
  <c r="G66" i="7"/>
  <c r="I66" i="7" s="1"/>
  <c r="H66" i="7"/>
  <c r="G67" i="7"/>
  <c r="H67" i="7"/>
  <c r="I67" i="7"/>
  <c r="G68" i="7"/>
  <c r="H68" i="7"/>
  <c r="G69" i="7"/>
  <c r="H69" i="7"/>
  <c r="G70" i="7"/>
  <c r="G71" i="7"/>
  <c r="H71" i="7"/>
  <c r="I71" i="7" s="1"/>
  <c r="H72" i="7"/>
  <c r="G73" i="7"/>
  <c r="H73" i="7"/>
  <c r="H74" i="7"/>
  <c r="G75" i="7"/>
  <c r="H75" i="7"/>
  <c r="I75" i="7" s="1"/>
  <c r="H76" i="7"/>
  <c r="G77" i="7"/>
  <c r="H77" i="7"/>
  <c r="H81" i="7"/>
  <c r="G82" i="7"/>
  <c r="H82" i="7"/>
  <c r="H83" i="7"/>
  <c r="H84" i="7"/>
  <c r="G85" i="7"/>
  <c r="H85" i="7"/>
  <c r="H86" i="7"/>
  <c r="H87" i="7"/>
  <c r="G88" i="7"/>
  <c r="I88" i="7" s="1"/>
  <c r="H88" i="7"/>
  <c r="H89" i="7"/>
  <c r="G90" i="7"/>
  <c r="I90" i="7" s="1"/>
  <c r="H90" i="7"/>
  <c r="H91" i="7"/>
  <c r="H92" i="7"/>
  <c r="H93" i="7"/>
  <c r="G94" i="7"/>
  <c r="H94" i="7"/>
  <c r="G95" i="7"/>
  <c r="H95" i="7"/>
  <c r="I95" i="7" s="1"/>
  <c r="G96" i="7"/>
  <c r="H96" i="7"/>
  <c r="G97" i="7"/>
  <c r="H97" i="7"/>
  <c r="H98" i="7"/>
  <c r="H99" i="7"/>
  <c r="H100" i="7"/>
  <c r="G101" i="7"/>
  <c r="G104" i="7"/>
  <c r="H104" i="7"/>
  <c r="I104" i="7" s="1"/>
  <c r="G105" i="7"/>
  <c r="H105" i="7"/>
  <c r="G106" i="7"/>
  <c r="H106" i="7"/>
  <c r="G110" i="7"/>
  <c r="H110" i="7"/>
  <c r="H111" i="7"/>
  <c r="G113" i="7"/>
  <c r="H113" i="7"/>
  <c r="G116" i="7"/>
  <c r="H116" i="7"/>
  <c r="H117" i="7"/>
  <c r="G119" i="7"/>
  <c r="H119" i="7"/>
  <c r="I119" i="7"/>
  <c r="G120" i="7"/>
  <c r="H120" i="7"/>
  <c r="I120" i="7" s="1"/>
  <c r="H121" i="7"/>
  <c r="H122" i="7"/>
  <c r="H123" i="7"/>
  <c r="G125" i="7"/>
  <c r="G127" i="7"/>
  <c r="G129" i="7"/>
  <c r="G130" i="7"/>
  <c r="H130" i="7"/>
  <c r="G131" i="7"/>
  <c r="H131" i="7"/>
  <c r="G132" i="7"/>
  <c r="H132" i="7"/>
  <c r="G133" i="7"/>
  <c r="I133" i="7" s="1"/>
  <c r="H133" i="7"/>
  <c r="G134" i="7"/>
  <c r="I134" i="7" s="1"/>
  <c r="H134" i="7"/>
  <c r="G135" i="7"/>
  <c r="H135" i="7"/>
  <c r="I135" i="7" s="1"/>
  <c r="G136" i="7"/>
  <c r="H136" i="7"/>
  <c r="I136" i="7" s="1"/>
  <c r="H137" i="7"/>
  <c r="G139" i="7"/>
  <c r="H139" i="7"/>
  <c r="I139" i="7" s="1"/>
  <c r="G142" i="7"/>
  <c r="I142" i="7" s="1"/>
  <c r="H142" i="7"/>
  <c r="G143" i="7"/>
  <c r="H143" i="7"/>
  <c r="I143" i="7"/>
  <c r="G144" i="7"/>
  <c r="H144" i="7"/>
  <c r="I144" i="7" s="1"/>
  <c r="G145" i="7"/>
  <c r="H145" i="7"/>
  <c r="H146" i="7"/>
  <c r="G147" i="7"/>
  <c r="H147" i="7"/>
  <c r="I147" i="7" s="1"/>
  <c r="G148" i="7"/>
  <c r="H148" i="7"/>
  <c r="G149" i="7"/>
  <c r="G150" i="7"/>
  <c r="H150" i="7"/>
  <c r="H153" i="7"/>
  <c r="G154" i="7"/>
  <c r="H154" i="7"/>
  <c r="I154" i="7" s="1"/>
  <c r="G155" i="7"/>
  <c r="H155" i="7"/>
  <c r="I155" i="7" s="1"/>
  <c r="H156" i="7"/>
  <c r="G157" i="7"/>
  <c r="H157" i="7"/>
  <c r="G158" i="7"/>
  <c r="I158" i="7" s="1"/>
  <c r="H158" i="7"/>
  <c r="G159" i="7"/>
  <c r="H159" i="7"/>
  <c r="I159" i="7"/>
  <c r="G160" i="7"/>
  <c r="H160" i="7"/>
  <c r="I160" i="7" s="1"/>
  <c r="G161" i="7"/>
  <c r="H161" i="7"/>
  <c r="H162" i="7"/>
  <c r="G163" i="7"/>
  <c r="H163" i="7"/>
  <c r="I163" i="7" s="1"/>
  <c r="G164" i="7"/>
  <c r="H164" i="7"/>
  <c r="G165" i="7"/>
  <c r="I165" i="7" s="1"/>
  <c r="H165" i="7"/>
  <c r="G166" i="7"/>
  <c r="H166" i="7"/>
  <c r="G167" i="7"/>
  <c r="H170" i="7"/>
  <c r="G172" i="7"/>
  <c r="H172" i="7"/>
  <c r="H175" i="7"/>
  <c r="G176" i="7"/>
  <c r="H176" i="7"/>
  <c r="I176" i="7" s="1"/>
  <c r="G177" i="7"/>
  <c r="H177" i="7"/>
  <c r="H178" i="7"/>
  <c r="G179" i="7"/>
  <c r="H179" i="7"/>
  <c r="I179" i="7" s="1"/>
  <c r="G182" i="7"/>
  <c r="I182" i="7" s="1"/>
  <c r="H182" i="7"/>
  <c r="G183" i="7"/>
  <c r="H183" i="7"/>
  <c r="I183" i="7"/>
  <c r="G184" i="7"/>
  <c r="H184" i="7"/>
  <c r="I184" i="7" s="1"/>
  <c r="H185" i="7"/>
  <c r="G186" i="7"/>
  <c r="H186" i="7"/>
  <c r="I186" i="7" s="1"/>
  <c r="G187" i="7"/>
  <c r="H187" i="7"/>
  <c r="I187" i="7" s="1"/>
  <c r="G188" i="7"/>
  <c r="G193" i="7"/>
  <c r="H193" i="7"/>
  <c r="H194" i="7"/>
  <c r="G195" i="7"/>
  <c r="H195" i="7"/>
  <c r="I195" i="7" s="1"/>
  <c r="G196" i="7"/>
  <c r="H196" i="7"/>
  <c r="H3" i="7"/>
  <c r="G3" i="7"/>
  <c r="F129" i="7"/>
  <c r="H129" i="7" s="1"/>
  <c r="H101" i="7"/>
  <c r="F46" i="7"/>
  <c r="H46" i="7" s="1"/>
  <c r="E194" i="7"/>
  <c r="G194" i="7" s="1"/>
  <c r="D191" i="7"/>
  <c r="H191" i="7" s="1"/>
  <c r="D190" i="7"/>
  <c r="H190" i="7" s="1"/>
  <c r="E192" i="7"/>
  <c r="E191" i="7"/>
  <c r="E190" i="7"/>
  <c r="G190" i="7" s="1"/>
  <c r="D189" i="7"/>
  <c r="H189" i="7" s="1"/>
  <c r="F188" i="7"/>
  <c r="H188" i="7" s="1"/>
  <c r="G185" i="7"/>
  <c r="I185" i="7" s="1"/>
  <c r="E182" i="7"/>
  <c r="E181" i="7"/>
  <c r="G181" i="7" s="1"/>
  <c r="I181" i="7" s="1"/>
  <c r="D181" i="7"/>
  <c r="H181" i="7" s="1"/>
  <c r="E180" i="7"/>
  <c r="G180" i="7" s="1"/>
  <c r="D180" i="7"/>
  <c r="H180" i="7" s="1"/>
  <c r="E178" i="7"/>
  <c r="G178" i="7" s="1"/>
  <c r="I178" i="7" s="1"/>
  <c r="D178" i="7"/>
  <c r="D171" i="7"/>
  <c r="H171" i="7" s="1"/>
  <c r="D170" i="7"/>
  <c r="E175" i="7"/>
  <c r="G175" i="7" s="1"/>
  <c r="I175" i="7" s="1"/>
  <c r="E174" i="7"/>
  <c r="D173" i="7"/>
  <c r="D174" i="7" s="1"/>
  <c r="H174" i="7" s="1"/>
  <c r="E173" i="7"/>
  <c r="H167" i="7"/>
  <c r="I167" i="7" s="1"/>
  <c r="G171" i="7"/>
  <c r="E170" i="7"/>
  <c r="G170" i="7" s="1"/>
  <c r="I170" i="7" s="1"/>
  <c r="E169" i="7"/>
  <c r="G169" i="7" s="1"/>
  <c r="D169" i="7"/>
  <c r="H169" i="7" s="1"/>
  <c r="G168" i="7"/>
  <c r="D168" i="7"/>
  <c r="H168" i="7" s="1"/>
  <c r="E164" i="7"/>
  <c r="E162" i="7"/>
  <c r="G162" i="7" s="1"/>
  <c r="I162" i="7" s="1"/>
  <c r="E158" i="7"/>
  <c r="E156" i="7"/>
  <c r="G156" i="7" s="1"/>
  <c r="I156" i="7" s="1"/>
  <c r="D149" i="7"/>
  <c r="H149" i="7" s="1"/>
  <c r="G153" i="7"/>
  <c r="I153" i="7" s="1"/>
  <c r="E152" i="7"/>
  <c r="G152" i="7" s="1"/>
  <c r="D152" i="7"/>
  <c r="H152" i="7" s="1"/>
  <c r="E151" i="7"/>
  <c r="D151" i="7"/>
  <c r="H151" i="7" s="1"/>
  <c r="E149" i="7"/>
  <c r="E146" i="7"/>
  <c r="G146" i="7" s="1"/>
  <c r="I146" i="7" s="1"/>
  <c r="E142" i="7"/>
  <c r="E141" i="7"/>
  <c r="G141" i="7" s="1"/>
  <c r="I141" i="7" s="1"/>
  <c r="D141" i="7"/>
  <c r="H141" i="7" s="1"/>
  <c r="G140" i="7"/>
  <c r="D140" i="7"/>
  <c r="H140" i="7" s="1"/>
  <c r="D138" i="7"/>
  <c r="H138" i="7" s="1"/>
  <c r="D137" i="7"/>
  <c r="E138" i="7"/>
  <c r="G138" i="7" s="1"/>
  <c r="I138" i="7" s="1"/>
  <c r="E137" i="7"/>
  <c r="G137" i="7" s="1"/>
  <c r="I137" i="7" s="1"/>
  <c r="D128" i="7"/>
  <c r="G128" i="7" s="1"/>
  <c r="D127" i="7"/>
  <c r="H127" i="7" s="1"/>
  <c r="I127" i="7" s="1"/>
  <c r="D126" i="7"/>
  <c r="H126" i="7" s="1"/>
  <c r="D125" i="7"/>
  <c r="H125" i="7" s="1"/>
  <c r="D124" i="7"/>
  <c r="H124" i="7" s="1"/>
  <c r="D123" i="7"/>
  <c r="G123" i="7" s="1"/>
  <c r="I123" i="7" s="1"/>
  <c r="E121" i="7"/>
  <c r="G121" i="7" s="1"/>
  <c r="I121" i="7" s="1"/>
  <c r="D121" i="7"/>
  <c r="D122" i="7" s="1"/>
  <c r="G122" i="7" s="1"/>
  <c r="I122" i="7" s="1"/>
  <c r="D118" i="7"/>
  <c r="H118" i="7" s="1"/>
  <c r="G98" i="7"/>
  <c r="E117" i="7"/>
  <c r="G117" i="7" s="1"/>
  <c r="I117" i="7" s="1"/>
  <c r="D115" i="7"/>
  <c r="E114" i="7"/>
  <c r="G114" i="7" s="1"/>
  <c r="I114" i="7" s="1"/>
  <c r="D114" i="7"/>
  <c r="H114" i="7" s="1"/>
  <c r="E112" i="7"/>
  <c r="G112" i="7" s="1"/>
  <c r="D112" i="7"/>
  <c r="H112" i="7" s="1"/>
  <c r="E111" i="7"/>
  <c r="G111" i="7" s="1"/>
  <c r="I111" i="7" s="1"/>
  <c r="D109" i="7"/>
  <c r="G108" i="7"/>
  <c r="D108" i="7"/>
  <c r="H108" i="7" s="1"/>
  <c r="G107" i="7"/>
  <c r="I107" i="7" s="1"/>
  <c r="D107" i="7"/>
  <c r="H107" i="7" s="1"/>
  <c r="E103" i="7"/>
  <c r="G103" i="7" s="1"/>
  <c r="I103" i="7" s="1"/>
  <c r="D103" i="7"/>
  <c r="H103" i="7" s="1"/>
  <c r="G102" i="7"/>
  <c r="I102" i="7" s="1"/>
  <c r="D102" i="7"/>
  <c r="H102" i="7" s="1"/>
  <c r="G100" i="7"/>
  <c r="I100" i="7" s="1"/>
  <c r="E99" i="7"/>
  <c r="G99" i="7" s="1"/>
  <c r="I99" i="7" s="1"/>
  <c r="E92" i="7"/>
  <c r="G92" i="7" s="1"/>
  <c r="E93" i="7"/>
  <c r="G93" i="7" s="1"/>
  <c r="I93" i="7" s="1"/>
  <c r="E91" i="7"/>
  <c r="G91" i="7" s="1"/>
  <c r="I91" i="7" s="1"/>
  <c r="E89" i="7"/>
  <c r="G89" i="7" s="1"/>
  <c r="I89" i="7" s="1"/>
  <c r="E87" i="7"/>
  <c r="G87" i="7" s="1"/>
  <c r="I87" i="7" s="1"/>
  <c r="E86" i="7"/>
  <c r="G86" i="7" s="1"/>
  <c r="E84" i="7"/>
  <c r="G84" i="7" s="1"/>
  <c r="I84" i="7" s="1"/>
  <c r="G83" i="7"/>
  <c r="I83" i="7" s="1"/>
  <c r="E81" i="7"/>
  <c r="G81" i="7" s="1"/>
  <c r="I81" i="7" s="1"/>
  <c r="D79" i="7"/>
  <c r="D78" i="7"/>
  <c r="G76" i="7"/>
  <c r="G74" i="7"/>
  <c r="I74" i="7" s="1"/>
  <c r="G72" i="7"/>
  <c r="F70" i="7"/>
  <c r="H70" i="7" s="1"/>
  <c r="E64" i="7"/>
  <c r="D64" i="7"/>
  <c r="H64" i="7" s="1"/>
  <c r="E63" i="7"/>
  <c r="D63" i="7"/>
  <c r="H63" i="7" s="1"/>
  <c r="E61" i="7"/>
  <c r="G61" i="7" s="1"/>
  <c r="I61" i="7" s="1"/>
  <c r="E60" i="7"/>
  <c r="G60" i="7" s="1"/>
  <c r="E58" i="7"/>
  <c r="G58" i="7" s="1"/>
  <c r="I58" i="7" s="1"/>
  <c r="G57" i="7"/>
  <c r="I57" i="7" s="1"/>
  <c r="E54" i="7"/>
  <c r="G54" i="7" s="1"/>
  <c r="I54" i="7" s="1"/>
  <c r="D55" i="7"/>
  <c r="G50" i="7"/>
  <c r="I50" i="7" s="1"/>
  <c r="E51" i="7"/>
  <c r="G51" i="7" s="1"/>
  <c r="I51" i="7" s="1"/>
  <c r="G47" i="7"/>
  <c r="I47" i="7" s="1"/>
  <c r="E44" i="7"/>
  <c r="G44" i="7" s="1"/>
  <c r="E43" i="7"/>
  <c r="D43" i="7"/>
  <c r="H43" i="7" s="1"/>
  <c r="E42" i="7"/>
  <c r="D42" i="7"/>
  <c r="H42" i="7" s="1"/>
  <c r="E40" i="7"/>
  <c r="D40" i="7"/>
  <c r="H40" i="7" s="1"/>
  <c r="E39" i="7"/>
  <c r="D39" i="7"/>
  <c r="H39" i="7" s="1"/>
  <c r="D37" i="7"/>
  <c r="D36" i="7"/>
  <c r="D35" i="7"/>
  <c r="D34" i="7"/>
  <c r="D33" i="7"/>
  <c r="D32" i="7"/>
  <c r="D30" i="7"/>
  <c r="D27" i="7"/>
  <c r="E26" i="7"/>
  <c r="G26" i="7" s="1"/>
  <c r="I26" i="7" s="1"/>
  <c r="D24" i="7"/>
  <c r="D23" i="7"/>
  <c r="H23" i="7" s="1"/>
  <c r="D21" i="7"/>
  <c r="H21" i="7" s="1"/>
  <c r="E21" i="7"/>
  <c r="G20" i="7"/>
  <c r="D18" i="7"/>
  <c r="D17" i="7"/>
  <c r="H17" i="7" s="1"/>
  <c r="D16" i="7"/>
  <c r="H16" i="7" s="1"/>
  <c r="D11" i="7"/>
  <c r="H11" i="7" s="1"/>
  <c r="E12" i="7"/>
  <c r="D12" i="7"/>
  <c r="H12" i="7" s="1"/>
  <c r="E8" i="7"/>
  <c r="G8" i="7" s="1"/>
  <c r="I8" i="7" s="1"/>
  <c r="G9" i="7"/>
  <c r="I9" i="7" s="1"/>
  <c r="D5" i="7"/>
  <c r="H5" i="7" s="1"/>
  <c r="E6" i="7"/>
  <c r="D6" i="7"/>
  <c r="H6" i="7" s="1"/>
  <c r="E5" i="7"/>
  <c r="I196" i="7" l="1"/>
  <c r="I168" i="7"/>
  <c r="I166" i="7"/>
  <c r="I157" i="7"/>
  <c r="I150" i="7"/>
  <c r="I131" i="7"/>
  <c r="I110" i="7"/>
  <c r="I73" i="7"/>
  <c r="I68" i="7"/>
  <c r="I65" i="7"/>
  <c r="I49" i="7"/>
  <c r="I41" i="7"/>
  <c r="I7" i="7"/>
  <c r="I4" i="7"/>
  <c r="I140" i="7"/>
  <c r="I152" i="7"/>
  <c r="I169" i="7"/>
  <c r="I171" i="7"/>
  <c r="I180" i="7"/>
  <c r="I190" i="7"/>
  <c r="H24" i="7"/>
  <c r="I24" i="7" s="1"/>
  <c r="G24" i="7"/>
  <c r="D31" i="7"/>
  <c r="H30" i="7"/>
  <c r="H32" i="7"/>
  <c r="I32" i="7" s="1"/>
  <c r="G32" i="7"/>
  <c r="H34" i="7"/>
  <c r="G34" i="7"/>
  <c r="G36" i="7"/>
  <c r="H36" i="7"/>
  <c r="G55" i="7"/>
  <c r="H55" i="7"/>
  <c r="G78" i="7"/>
  <c r="I78" i="7" s="1"/>
  <c r="H78" i="7"/>
  <c r="I3" i="7"/>
  <c r="I194" i="7"/>
  <c r="G191" i="7"/>
  <c r="I191" i="7" s="1"/>
  <c r="G189" i="7"/>
  <c r="I189" i="7" s="1"/>
  <c r="I188" i="7"/>
  <c r="G174" i="7"/>
  <c r="I174" i="7" s="1"/>
  <c r="G173" i="7"/>
  <c r="G151" i="7"/>
  <c r="I151" i="7" s="1"/>
  <c r="I149" i="7"/>
  <c r="H128" i="7"/>
  <c r="I128" i="7" s="1"/>
  <c r="G126" i="7"/>
  <c r="I126" i="7" s="1"/>
  <c r="I125" i="7"/>
  <c r="G124" i="7"/>
  <c r="I124" i="7" s="1"/>
  <c r="G118" i="7"/>
  <c r="I118" i="7" s="1"/>
  <c r="G5" i="7"/>
  <c r="I5" i="7" s="1"/>
  <c r="G6" i="7"/>
  <c r="I6" i="7" s="1"/>
  <c r="G11" i="7"/>
  <c r="I11" i="7" s="1"/>
  <c r="G12" i="7"/>
  <c r="I12" i="7" s="1"/>
  <c r="G16" i="7"/>
  <c r="I16" i="7" s="1"/>
  <c r="G17" i="7"/>
  <c r="I17" i="7" s="1"/>
  <c r="H18" i="7"/>
  <c r="I18" i="7" s="1"/>
  <c r="G18" i="7"/>
  <c r="G21" i="7"/>
  <c r="I21" i="7" s="1"/>
  <c r="G23" i="7"/>
  <c r="I23" i="7" s="1"/>
  <c r="H27" i="7"/>
  <c r="G27" i="7"/>
  <c r="G30" i="7"/>
  <c r="I30" i="7" s="1"/>
  <c r="H33" i="7"/>
  <c r="G33" i="7"/>
  <c r="I33" i="7" s="1"/>
  <c r="H35" i="7"/>
  <c r="G35" i="7"/>
  <c r="I35" i="7" s="1"/>
  <c r="G37" i="7"/>
  <c r="H37" i="7"/>
  <c r="G39" i="7"/>
  <c r="I39" i="7" s="1"/>
  <c r="G40" i="7"/>
  <c r="I40" i="7" s="1"/>
  <c r="G42" i="7"/>
  <c r="I42" i="7" s="1"/>
  <c r="G43" i="7"/>
  <c r="I43" i="7" s="1"/>
  <c r="G63" i="7"/>
  <c r="I63" i="7" s="1"/>
  <c r="G64" i="7"/>
  <c r="I64" i="7" s="1"/>
  <c r="D80" i="7"/>
  <c r="G79" i="7"/>
  <c r="H79" i="7"/>
  <c r="I108" i="7"/>
  <c r="G109" i="7"/>
  <c r="I109" i="7" s="1"/>
  <c r="H109" i="7"/>
  <c r="I112" i="7"/>
  <c r="H115" i="7"/>
  <c r="G115" i="7"/>
  <c r="I115" i="7" s="1"/>
  <c r="I193" i="7"/>
  <c r="I177" i="7"/>
  <c r="H173" i="7"/>
  <c r="I172" i="7"/>
  <c r="I164" i="7"/>
  <c r="I161" i="7"/>
  <c r="I148" i="7"/>
  <c r="I145" i="7"/>
  <c r="I132" i="7"/>
  <c r="I130" i="7"/>
  <c r="I129" i="7"/>
  <c r="I116" i="7"/>
  <c r="I113" i="7"/>
  <c r="I106" i="7"/>
  <c r="I105" i="7"/>
  <c r="I97" i="7"/>
  <c r="I92" i="7"/>
  <c r="I86" i="7"/>
  <c r="I76" i="7"/>
  <c r="I60" i="7"/>
  <c r="I44" i="7"/>
  <c r="I20" i="7"/>
  <c r="I15" i="7"/>
  <c r="I10" i="7"/>
  <c r="I101" i="7"/>
  <c r="I98" i="7"/>
  <c r="I96" i="7"/>
  <c r="I94" i="7"/>
  <c r="I85" i="7"/>
  <c r="I82" i="7"/>
  <c r="I77" i="7"/>
  <c r="I72" i="7"/>
  <c r="I70" i="7"/>
  <c r="I69" i="7"/>
  <c r="I62" i="7"/>
  <c r="I56" i="7"/>
  <c r="I53" i="7"/>
  <c r="I48" i="7"/>
  <c r="I46" i="7"/>
  <c r="I45" i="7"/>
  <c r="I38" i="7"/>
  <c r="I29" i="7"/>
  <c r="D192" i="7"/>
  <c r="H192" i="7" s="1"/>
  <c r="H80" i="7" l="1"/>
  <c r="I80" i="7" s="1"/>
  <c r="G80" i="7"/>
  <c r="I37" i="7"/>
  <c r="I27" i="7"/>
  <c r="G31" i="7"/>
  <c r="H31" i="7"/>
  <c r="G192" i="7"/>
  <c r="I192" i="7" s="1"/>
  <c r="I79" i="7"/>
  <c r="I173" i="7"/>
  <c r="H197" i="7"/>
  <c r="H198" i="7" s="1"/>
  <c r="I55" i="7"/>
  <c r="I36" i="7"/>
  <c r="I34" i="7"/>
  <c r="I31" i="7" l="1"/>
  <c r="I197" i="7" s="1"/>
  <c r="I198" i="7" s="1"/>
  <c r="G197" i="7"/>
  <c r="G198" i="7" s="1"/>
</calcChain>
</file>

<file path=xl/sharedStrings.xml><?xml version="1.0" encoding="utf-8"?>
<sst xmlns="http://schemas.openxmlformats.org/spreadsheetml/2006/main" count="603" uniqueCount="307">
  <si>
    <t>№, п/п</t>
  </si>
  <si>
    <t>Наименование работ</t>
  </si>
  <si>
    <t>Ед. изм.</t>
  </si>
  <si>
    <t>Кол-во</t>
  </si>
  <si>
    <t>Ссылка</t>
  </si>
  <si>
    <t>Итого без НДС</t>
  </si>
  <si>
    <t>Итого с НДС (Себестоимость)</t>
  </si>
  <si>
    <t>м</t>
  </si>
  <si>
    <t>м2</t>
  </si>
  <si>
    <t>шт</t>
  </si>
  <si>
    <t>1</t>
  </si>
  <si>
    <t>5</t>
  </si>
  <si>
    <t>6</t>
  </si>
  <si>
    <t>7</t>
  </si>
  <si>
    <t>кг</t>
  </si>
  <si>
    <r>
      <t xml:space="preserve">Ед. стоимость </t>
    </r>
    <r>
      <rPr>
        <b/>
        <sz val="11"/>
        <rFont val="Times New Roman"/>
        <family val="1"/>
        <charset val="204"/>
      </rPr>
      <t>МАТЕРИАЛА</t>
    </r>
    <r>
      <rPr>
        <b/>
        <sz val="11"/>
        <color theme="1"/>
        <rFont val="Times New Roman"/>
        <family val="1"/>
        <charset val="204"/>
      </rPr>
      <t xml:space="preserve">, </t>
    </r>
    <r>
      <rPr>
        <b/>
        <sz val="11"/>
        <color rgb="FFFF0000"/>
        <rFont val="Times New Roman"/>
        <family val="1"/>
        <charset val="204"/>
      </rPr>
      <t>без НДС</t>
    </r>
  </si>
  <si>
    <r>
      <t xml:space="preserve">Общая стоимость, </t>
    </r>
    <r>
      <rPr>
        <b/>
        <sz val="11"/>
        <color rgb="FFFF0000"/>
        <rFont val="Times New Roman"/>
        <family val="1"/>
        <charset val="204"/>
      </rPr>
      <t>без НДС</t>
    </r>
  </si>
  <si>
    <r>
      <t>Итого стоимость работ,</t>
    </r>
    <r>
      <rPr>
        <b/>
        <sz val="11"/>
        <color rgb="FFFF0000"/>
        <rFont val="Times New Roman"/>
        <family val="1"/>
        <charset val="204"/>
      </rPr>
      <t xml:space="preserve"> без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НДС</t>
    </r>
  </si>
  <si>
    <t>3</t>
  </si>
  <si>
    <t>4</t>
  </si>
  <si>
    <t>работы</t>
  </si>
  <si>
    <t>8</t>
  </si>
  <si>
    <t>9</t>
  </si>
  <si>
    <t>10</t>
  </si>
  <si>
    <t>13</t>
  </si>
  <si>
    <t>2</t>
  </si>
  <si>
    <t>16</t>
  </si>
  <si>
    <t>17</t>
  </si>
  <si>
    <t>т</t>
  </si>
  <si>
    <t>12</t>
  </si>
  <si>
    <t>https://leroymerlin.ru/product/zatirka-cementnaya-axton-a-000-2-kg-cvet-belyy-82403001/</t>
  </si>
  <si>
    <t>Затирка цементная Axton A.000 2 кг цвет белый</t>
  </si>
  <si>
    <t>24</t>
  </si>
  <si>
    <t>25</t>
  </si>
  <si>
    <t>л</t>
  </si>
  <si>
    <t>26</t>
  </si>
  <si>
    <t>27</t>
  </si>
  <si>
    <t>30</t>
  </si>
  <si>
    <t>31</t>
  </si>
  <si>
    <t>32</t>
  </si>
  <si>
    <t>https://leroymerlin.ru/product/shtukaturka-cementnaya-axton-25-kg-13857214/</t>
  </si>
  <si>
    <t>Штукатурка цементная Axton 25 кг</t>
  </si>
  <si>
    <t>36</t>
  </si>
  <si>
    <t>37</t>
  </si>
  <si>
    <t xml:space="preserve">Монтаж гибких подводок к водогазоразборной арматуре
</t>
  </si>
  <si>
    <t>https://leroymerlin.ru/product/gibkaya-podvodka-dlya-vody-equation-13659568/</t>
  </si>
  <si>
    <t>Гибкая подводка для воды Equation, 1/2", M10x18 мм, штуцер-гайка, 80 см</t>
  </si>
  <si>
    <t>43</t>
  </si>
  <si>
    <t>44</t>
  </si>
  <si>
    <t>45</t>
  </si>
  <si>
    <t>46</t>
  </si>
  <si>
    <t>https://leroymerlin.ru/search/?q=%D0%BA%D0%B0%D0%B1%D0%B5%D0%BB%D1%8C%20%D0%B2%D0%B2%D0%B3%203%D1%852.5&amp;family=21c5cff0-9630-11ea-a7f0-6bece35869ea&amp;suggest=true</t>
  </si>
  <si>
    <t xml:space="preserve">Кабели силовые с медными жилами, огнестойкие, с изоляцией и оболочкой из ПВХ пластиката пониженной пожарной опасности, не распространяющей горение, с пониженным дымо-и газовыделением, напряжение 660 В, марка ВВГнг(А)-FRLS, число жил и сечение, мм2: 3х2,5
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</si>
  <si>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</si>
  <si>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</si>
  <si>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</si>
  <si>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</si>
  <si>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</si>
  <si>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</si>
  <si>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</si>
  <si>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</si>
  <si>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</si>
  <si>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</si>
  <si>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</si>
  <si>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Демонтаж осветительных приборов - светильник для люминесцентных ламп
</t>
  </si>
  <si>
    <t>60</t>
  </si>
  <si>
    <r>
      <t>Итого стоимость материала,</t>
    </r>
    <r>
      <rPr>
        <b/>
        <sz val="11"/>
        <color rgb="FFFF0000"/>
        <rFont val="Times New Roman"/>
        <family val="1"/>
        <charset val="204"/>
      </rPr>
      <t xml:space="preserve"> без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НДС</t>
    </r>
  </si>
  <si>
    <t xml:space="preserve">Разборка покрытий из линолеума и релина
</t>
  </si>
  <si>
    <t>18</t>
  </si>
  <si>
    <t>19</t>
  </si>
  <si>
    <t>20</t>
  </si>
  <si>
    <t>21</t>
  </si>
  <si>
    <t>29</t>
  </si>
  <si>
    <t>https://leroymerlin.ru/product/peskobeton-m300-18478820/</t>
  </si>
  <si>
    <t>Пескобетон Каменный цветок М300, 40 кг</t>
  </si>
  <si>
    <t>Ед. стоимость РАБОТ, без НДС</t>
  </si>
  <si>
    <t>https://leroymerlin.ru/product/keramogranit-merida-60x60-sm-1-44-m-cvet-bezhevyy-82595110/</t>
  </si>
  <si>
    <t>Керамогранит Merida 60X60 см 1.44 м² цвет бежевый</t>
  </si>
  <si>
    <t>https://leroymerlin.ru/product/kley-plitonit-dlya-keramogranita-60h60-sm-17989492/</t>
  </si>
  <si>
    <t>Клей Плитонит для керамогранита 60х60 см, 25 кг</t>
  </si>
  <si>
    <t>https://leroymerlin.ru/product/betonkontakt-bolars-12-kg-15848303/</t>
  </si>
  <si>
    <t>Бетонконтакт Боларс 12 кг</t>
  </si>
  <si>
    <t>Дюбель-гвоздь</t>
  </si>
  <si>
    <t>https://leroymerlin.ru/product/kraska-ekologichnaya-tikkurila-joker-cvet-belyy-2-7-l-11601346/</t>
  </si>
  <si>
    <t xml:space="preserve">Сплошное выравнивание штукатурки стен, внутри здания полимерцементным раствором при толщине намета до 5 мм
</t>
  </si>
  <si>
    <t>https://leroymerlin.ru/product/pena-montazhnaya-pistoletnaya-axton-750-ml-82639979/</t>
  </si>
  <si>
    <t>Пена монтажная пистолетная Axton 750 мл</t>
  </si>
  <si>
    <t>58</t>
  </si>
  <si>
    <t>59</t>
  </si>
  <si>
    <t>https://leroymerlin.ru/product/derzhatel-klipsa-dlya-trub-ekoplast-d16-mm-17964480/</t>
  </si>
  <si>
    <t>Держатель-клипса для труб Экопласт D16 мм, 50 шт.</t>
  </si>
  <si>
    <t xml:space="preserve">Кабели силовые с медными жилами, с изоляцией и оболочкой из поливинилхлоридных композиций пониженной пожароопасности, с низким дымо - и газовыделением, марка ВВГнг(А)-LSltx, напряжение 660 В, число жил и сечение, мм2: 3х1,5
</t>
  </si>
  <si>
    <t>https://www.etm.ru/cat/nn/9724735/</t>
  </si>
  <si>
    <t xml:space="preserve">Установка розетки штепсельной утопленного типа при скрытой проводке (без стоимости материалов)
</t>
  </si>
  <si>
    <t xml:space="preserve">Розетки (механизмы) силовые, серия "Валена", напряжение 250 В, номинальный ток 16 А, тип 2К+3, с винтовыми зажимами, защитными шторками и заземляющим контактом, цвет белый
</t>
  </si>
  <si>
    <t xml:space="preserve">Коробки для установки выключателей, переключателей и штепсельных розеток при скрытой электропроводке, тип КУВ-1М УХЛЗ
</t>
  </si>
  <si>
    <t>https://www.etm.ru/cat/nn/686052/</t>
  </si>
  <si>
    <t>https://leroymerlin.ru/search/?q=%D0%BA%D0%BE%D1%80%D0%BE%D0%B1%D0%BA%D0%B0+%D1%83%D1%81%D1%82%D0%B0%D0%BD%D0%BE%D0%B2%D0%BE%D1%87%D0%BD%D0%B0%D1%8F&amp;plpView=largeCard</t>
  </si>
  <si>
    <t>Примечание</t>
  </si>
  <si>
    <t xml:space="preserve">Разборка деревянных заполнений проемов оконных без подоконных досок
</t>
  </si>
  <si>
    <t>https://leroymerlin.ru/product/gruntovka-glubokogo-proniknoveniya-ceresit-ct17-5-l-12757481/</t>
  </si>
  <si>
    <t>Грунтовка глубокого проникновения Ceresit CT17 5 л</t>
  </si>
  <si>
    <t>33</t>
  </si>
  <si>
    <t>14</t>
  </si>
  <si>
    <t>15</t>
  </si>
  <si>
    <t>https://leroymerlin.ru/product/plitka-nastennaya-osaka-20x50-sm-1-3-m-cvet-seryy-82497523/</t>
  </si>
  <si>
    <t>Плитка настенная Osaka 20x50 см 1.3 м² цвет серый</t>
  </si>
  <si>
    <t xml:space="preserve">Окраска масляными составами за два раза ранее окрашенных металлических поверхностей радиаторов и ребристых труб
</t>
  </si>
  <si>
    <t>https://moscow.petrovich.ru/catalog/6656/143684/</t>
  </si>
  <si>
    <t>Эмаль для радиаторов в/д VGT глянцевая супербелая Профи 0,5 кг</t>
  </si>
  <si>
    <t>https://leroymerlin.ru/product/gruntovka-universalnaya-gf-021-1-9-kg-belaya-18449439/</t>
  </si>
  <si>
    <t>Грунтовка универсальная ГФ-021 1.9 кг белая</t>
  </si>
  <si>
    <t>Подшивка потолков Армстронг</t>
  </si>
  <si>
    <t>Коэффициент на подрезку, 15 %</t>
  </si>
  <si>
    <t>Профиль к подвесному потолку 3,7 м Norma T-24</t>
  </si>
  <si>
    <t>Профиль к подвесному потолку 1,2 м Norma T-24</t>
  </si>
  <si>
    <t>Профиль к подвесному потолку 0,6 м Norma T-24</t>
  </si>
  <si>
    <t>Профиль угловой универсальный PL 19х24х3000 мм белый стальной</t>
  </si>
  <si>
    <t>Подвес к подвесному потолку 0,6 м</t>
  </si>
  <si>
    <t>Дюбель-гвоздь 6*40 - 1,4 шт. ;</t>
  </si>
  <si>
    <t>https://leroymerlin.ru/product/potolochnaya-plita-armstrong-bajkal-board-600x600h12-mm-82458369/</t>
  </si>
  <si>
    <t>Потолочная плита Armstrong bajkaL Board 600x600х12 мм</t>
  </si>
  <si>
    <t>39</t>
  </si>
  <si>
    <t>40</t>
  </si>
  <si>
    <t>41</t>
  </si>
  <si>
    <t>42</t>
  </si>
  <si>
    <t>Труба гофрированная Экопласт HFFR огнестойкая, без галогена, с зондом, D20 мм, 100 м</t>
  </si>
  <si>
    <t>https://leroymerlin.ru/product/truba-gofrirovannaya-ekoplast-hffr-ognestoykaya-82771215/</t>
  </si>
  <si>
    <t xml:space="preserve">Выключатели (механизмы) двухклавишные, серия "Валена", напряжение 250 В, номинальный ток 10 А, скрытой установки с безвинтовыми зажимами, с лицевыми панелями, цвет белый
</t>
  </si>
  <si>
    <t>https://shop220.ru/752155-valena-life-ip44vyklyuchatel-dvuhklavishnyy-10a-250v-ip44-s-litsevoy-panelyubezvintovye-zazhimybelyy.htm</t>
  </si>
  <si>
    <t>Кабинет 2,3</t>
  </si>
  <si>
    <t>Очистка вручную поверхности стен</t>
  </si>
  <si>
    <t>Ремонт штукатурки внутренних стен по камню и бетону цп раствором, 20 мм</t>
  </si>
  <si>
    <t>Шпаклёвка финишная Knauf Ротбанд Паста Профи, 5 кг</t>
  </si>
  <si>
    <t>https://leroymerlin.ru/product/betonkontakt-ceresit-ct19-15-kg-13434318/</t>
  </si>
  <si>
    <t>Бетонконтакт Ceresit CT19 15 кг</t>
  </si>
  <si>
    <t>Окраска стен внутри помещений водно-дисперсионными акриловыми красками по сборным констукциям, подготовленным под окраску</t>
  </si>
  <si>
    <t>Разборка плинтусов деревянных и из пластмассовых материалов</t>
  </si>
  <si>
    <t xml:space="preserve">Устройство основания полов из фанеры в один слой </t>
  </si>
  <si>
    <t>https://leroymerlin.ru/product/fanera-12-mm-fk-neshlifovannaya-1525x1525-mm-sort-4-4-2-325-m-12750191/</t>
  </si>
  <si>
    <t>Фанера 12 мм ФК нешлифованная 1525x1525 мм сорт 4/4 2.325 м²</t>
  </si>
  <si>
    <t>https://leroymerlin.ru/product/kley-dlya-fanery-i-parketa-tytan-14-kg-81981427/</t>
  </si>
  <si>
    <t>Клей для фанеры и паркета Tytan 14 кг</t>
  </si>
  <si>
    <t>Устройство покрытий из досок ламинированных замковым способом</t>
  </si>
  <si>
    <t>https://leroymerlin.ru/product/laminat-artens-dub-kastiliya-32-klass-tolshchina-8-mm-2-131-m-81978568/</t>
  </si>
  <si>
    <t>https://leroymerlin.ru/product/podlozhka-axton-xps-3-mm-6-m-17026338/</t>
  </si>
  <si>
    <t>Подложка Axton XPS 3 мм 6 м²</t>
  </si>
  <si>
    <t>Устройство плинтусов пвх на винтах</t>
  </si>
  <si>
    <t>Плинтус напольный ПВХ 55 мм 2.5 м цвет дуб пепельный</t>
  </si>
  <si>
    <t>Укладка металлического порожка</t>
  </si>
  <si>
    <t>https://leroymerlin.ru/product/plintus-napolnyy-pvh-dub-veronskiy-81973052/</t>
  </si>
  <si>
    <t>https://leroymerlin.ru/product/porog-odnourovnevyy-styk-artens-40h900-mm-cvet-dub-belyy-17854862/</t>
  </si>
  <si>
    <t>Порог одноуровневый (стык) Artens 40х900 мм цвет дуб белый</t>
  </si>
  <si>
    <t>Разборка потолков реечных</t>
  </si>
  <si>
    <t xml:space="preserve">Окраска масляными составами за два раза ранее окрашенных металлических  труб
</t>
  </si>
  <si>
    <t>Решетка радиаторная 0,6х1,5 м</t>
  </si>
  <si>
    <t>https://leroymerlin.ru/product/reshetka-dekorativnaya-60h120-sm-cvet-belyy-11738086/</t>
  </si>
  <si>
    <t>22</t>
  </si>
  <si>
    <t>Установка оконных блоков ПВХ</t>
  </si>
  <si>
    <t>Блок оконный пластиковый двустворчатый, с глухой и поворотной створкой,двукамерным стеклопакетом, 2,7 м2</t>
  </si>
  <si>
    <t>https://www.isolux.ru/okno-pvh-dvuhkamernoe-ekookna-1400h1400-mm-dvuhstvorchatoe-stvorka-povorotno-otkidnaya-levaya.html</t>
  </si>
  <si>
    <t>Установка подоконных досок</t>
  </si>
  <si>
    <t>Подоконник ПВХ 1500х400 мм, цвет белый</t>
  </si>
  <si>
    <t>Заглушка</t>
  </si>
  <si>
    <t>Смена отлива</t>
  </si>
  <si>
    <t>https://leroymerlin.ru/product/podokonnik-pvh-1500h500-mm-82175079/</t>
  </si>
  <si>
    <t>https://leroymerlin.ru/product/otliv-160-mm-ocinkovannyy-17880649/</t>
  </si>
  <si>
    <t>Саморез оцинкованный</t>
  </si>
  <si>
    <t>Отлив 200 мм оцинкованный</t>
  </si>
  <si>
    <t>Облицовка оконных и дверных откосов декоративными бумажно-слоистым пластиком</t>
  </si>
  <si>
    <t>https://leroymerlin.ru/product/otkos-okonnyy-uteplennyy-2000x400x10-mm-12698012/</t>
  </si>
  <si>
    <t>Откос оконный утеплённый 2000x400x10 мм</t>
  </si>
  <si>
    <t>https://homesaver.ru/catalog/propitki_i_kraski/dekorativnaa_ognezasita/nortovskaya_gruntovka_antiseptik_norteks_grunt/</t>
  </si>
  <si>
    <t>Акриловая грунтовка Нортекс</t>
  </si>
  <si>
    <t>Установка уголков ПВХ на клее</t>
  </si>
  <si>
    <t>https://maxipro.ru/product/mir-otdelki-i-dekora/germetik-akrilatnyy-dlya-montazha-okon-sazi-stiz-a-0-9-kg/?yclid=474222166719113490&amp;utm_source=yandex&amp;utm_medium=cpc&amp;utm_term=&amp;utm_content=4281885883__v3||9534647840||1454661||||3||premium||none||search||no&amp;utm_campaign=dsa_mod_all_all_omd_federal</t>
  </si>
  <si>
    <t>Герметик акрилатный для монтажа окон Сази Стиз А 0,9 кг</t>
  </si>
  <si>
    <t>Угол ПВХ</t>
  </si>
  <si>
    <t>34</t>
  </si>
  <si>
    <t>35</t>
  </si>
  <si>
    <t>Окраска масляными составами за два раза ранее окрашенных мет.решеток</t>
  </si>
  <si>
    <t>Разборка деревянных заполнений проемов дверных</t>
  </si>
  <si>
    <t xml:space="preserve">Установка дверных блоков - во внутренних дверных проемах в каменных стенах, площадь проема до 3 м2 </t>
  </si>
  <si>
    <t>https://www.doors007.ru/finddoor.html?fndtype=room&amp;_openstat=ZGlyZWN0LnlhbmRleC5ydTsxNDQyNTE4Ozk1ODI2NTA1Mjc7eWFuZGV4LnJ1Omd1YXJhbnRlZQ&amp;yclid=474387424274317128</t>
  </si>
  <si>
    <t xml:space="preserve">Блоки дверные однопольные, глухие, с уплотняющими прокладками, со скобяными приборами, с замком, с наличником и добором, ДГ 21-6/7/8/9 Капель
</t>
  </si>
  <si>
    <t>Замок</t>
  </si>
  <si>
    <t>Установка светильников в подвесных потолках</t>
  </si>
  <si>
    <t>Светильник светодиодный "Varton" А070 , встраиваемый, без рассеивателя,600х600, 27 W, 3000 К, IP20,арт V1-А0-00070-01000-2002730</t>
  </si>
  <si>
    <t>https://www.technology-s.ru/ofisno-administrativnoe-osveshchenie/svetilniki-595-595-50/standart-p800</t>
  </si>
  <si>
    <t>Короба пластмассовые до 40 мм</t>
  </si>
  <si>
    <t>Кабель-канал "Электропласт", 40х25 мм</t>
  </si>
  <si>
    <t>http://c-electro.ru/kabel-kanal-40-h-25-mm-l-2000-mm-32-m-up-elektroplast-promrukav.html</t>
  </si>
  <si>
    <t>Провод в лотках</t>
  </si>
  <si>
    <t>Провод сечением до 6 мм2</t>
  </si>
  <si>
    <t>Смена выключателей</t>
  </si>
  <si>
    <t>Шкаф управления навесной</t>
  </si>
  <si>
    <t>Бокс ЩРН-П-12модулей навесной пластик IP 41 ИЕК арт. МКР12-N-12-40-10</t>
  </si>
  <si>
    <t>https://www.vseinstrumenti.ru/electrika-i-svet/el-mont-prod/shkaf-schit-bok/boksy/iek/schrn-p-12-iek-mkp12-n-12-40-10/</t>
  </si>
  <si>
    <t>Прибор или автомат</t>
  </si>
  <si>
    <t>Выключатели автоматические IEK ВА47-29 1P 10А,характ С</t>
  </si>
  <si>
    <t>Выключатели автоматические IEK ВА47-29 1P 16А,характ С</t>
  </si>
  <si>
    <t>Выключатели автоматические IEK ВА47-29 1P 40А,характ С</t>
  </si>
  <si>
    <t>https://maxipro.ru/product/mir-ehlektriki/avtomaticheskiy-vyklyuchateliek-va47-29-1r-10-a-4-5ka-s/?yclid=506891926688013086&amp;utm_source=yandex&amp;utm_medium=cpc&amp;utm_term=&amp;utm_content=4327785091__v3||9717414694||1384294||||4||premium||none||search||no&amp;utm_campaign=dsa_mel_all_all_omd_federal</t>
  </si>
  <si>
    <t>Кабинет 1</t>
  </si>
  <si>
    <t xml:space="preserve">61 </t>
  </si>
  <si>
    <t>Разборка обшивки стен</t>
  </si>
  <si>
    <t>62</t>
  </si>
  <si>
    <t>63</t>
  </si>
  <si>
    <t>64</t>
  </si>
  <si>
    <t>65</t>
  </si>
  <si>
    <t>66</t>
  </si>
  <si>
    <t>67</t>
  </si>
  <si>
    <t>https://leroymerlin.ru/product/shtukaturka-gipsovaya-knauf-rotband-30-kg-10073940/</t>
  </si>
  <si>
    <t>Штукатурка гипсовая Knauf Ротбанд 30 кг</t>
  </si>
  <si>
    <t>68</t>
  </si>
  <si>
    <t>69</t>
  </si>
  <si>
    <t>70</t>
  </si>
  <si>
    <t>72</t>
  </si>
  <si>
    <t>73</t>
  </si>
  <si>
    <t>74</t>
  </si>
  <si>
    <t>75</t>
  </si>
  <si>
    <t>76</t>
  </si>
  <si>
    <t>Очистка вручную поверхности потолка</t>
  </si>
  <si>
    <t>77</t>
  </si>
  <si>
    <t>78</t>
  </si>
  <si>
    <t>79</t>
  </si>
  <si>
    <t>81</t>
  </si>
  <si>
    <t>82</t>
  </si>
  <si>
    <t>Санузел</t>
  </si>
  <si>
    <t>83</t>
  </si>
  <si>
    <t>84</t>
  </si>
  <si>
    <t>Перетирка штукатурки</t>
  </si>
  <si>
    <t>85</t>
  </si>
  <si>
    <t xml:space="preserve">Гладкая облицовка стен внутренних керамическими плитками
</t>
  </si>
  <si>
    <t>86</t>
  </si>
  <si>
    <t>87</t>
  </si>
  <si>
    <t>Устройство потолков реечных алюминиевых</t>
  </si>
  <si>
    <t>Уголок декоративный пристенный</t>
  </si>
  <si>
    <t>https://leroymerlin.ru/product/komplekt-potolka-duo-2h2-m-cvet-belyy-matovyy-15382443/</t>
  </si>
  <si>
    <t>Комплект потолка Дуо 2х2 м цвет белый матовый</t>
  </si>
  <si>
    <t>88</t>
  </si>
  <si>
    <t>89</t>
  </si>
  <si>
    <t>Разбора покрытий полов из керамических плиток</t>
  </si>
  <si>
    <t>90</t>
  </si>
  <si>
    <t xml:space="preserve">Устройство стяжек цементных толщиной 20 мм
</t>
  </si>
  <si>
    <t>91</t>
  </si>
  <si>
    <t xml:space="preserve">Устройство полов из крупноразмерных керамогранитных плиток на клее из сухих смесей толщ. слоя 4 мм с затиркой швов
</t>
  </si>
  <si>
    <t>92</t>
  </si>
  <si>
    <t xml:space="preserve">Демонтаж осветительных приборов </t>
  </si>
  <si>
    <t>93</t>
  </si>
  <si>
    <t>Светильник местного освещения</t>
  </si>
  <si>
    <t xml:space="preserve">Светильник точечный под зеркальную лампу мощностью 60 Вт, тип R+63 </t>
  </si>
  <si>
    <t>https://www.etm.ru/catalog/?searchValue=%D0%A1%D0%B2%D0%B5%D1%82%D0%B8%D0%BB%D1%8C%D0%BD%D0%B8%D0%BA%20%20%D1%82%D0%BE%D1%87%D0%B5%D1%87%D0%BD%D1%8B%D0%B9%20R-63</t>
  </si>
  <si>
    <t>94</t>
  </si>
  <si>
    <t>95</t>
  </si>
  <si>
    <t>Смена смесителей</t>
  </si>
  <si>
    <t>Смеситель Zorg Sanitary ZR 155571</t>
  </si>
  <si>
    <t>https://www.santehnica.ru/product/101366.htmI</t>
  </si>
  <si>
    <t>97</t>
  </si>
  <si>
    <t>98</t>
  </si>
  <si>
    <t>Установка столов, шкафов под мойки</t>
  </si>
  <si>
    <t>Подстолье под мойку, облицованное пластиком с печатным рисунком</t>
  </si>
  <si>
    <t>https://www.santech.ru/catalog/444/450/i23392/v29740/</t>
  </si>
  <si>
    <t>99</t>
  </si>
  <si>
    <t>100</t>
  </si>
  <si>
    <t>102</t>
  </si>
  <si>
    <t>Установка туалетного зеркала</t>
  </si>
  <si>
    <t>Зеркало</t>
  </si>
  <si>
    <t>https://pokupki.market.yandex.ru/product/zerkalo-mixline-shans-525479-50x58-sm-bez-ramy/559736050?lr=213&amp;offerid=mJ14hRkO21R8RhTQCkgUDg&amp;wprid=1613036658033510-516838954108258307600274-prestable-app-host-sas-web-yp-195&amp;clid=832</t>
  </si>
  <si>
    <t>Входная группа</t>
  </si>
  <si>
    <t>103</t>
  </si>
  <si>
    <t>104</t>
  </si>
  <si>
    <t xml:space="preserve">Окраска стен внутри помещений водно-дисперсионными акриловыми красками </t>
  </si>
  <si>
    <t>105</t>
  </si>
  <si>
    <t>Окраска ступеней с подготовкой поверхности кремний органическая</t>
  </si>
  <si>
    <t>https://yandex.ru/clck/jsredir?from=yandex.ru%3Bsearch%2F%3Bweb%3B%3B&amp;text=&amp;etext=2202.gTcHm0DJIBbjZLbsLYMrRXBWUuJ0lDVmWL-ijX7au8Azybm0im-LiSOABgLTbd9kYvU_XDlr2F9hBDiVS3WgQP39JaBNrpYoBs0ZXB6Qf560dzrqhRwhWXpt7ctzzuhntRbtRfybOn8sIFIsIXpbu2lvZ3VyZXZ5c3JheWh4dGU.f11274c969c0040d393c9a8386585af26c1b43a5&amp;uuid=&amp;state=jLT9ScZ_wbo,&amp;&amp;cst=AiuY0DBWFJ4CiF6OxvZkNJxhiPjx6X79IvfS_d8t_Srq9qWC_67J9pRiyfoweqTteMcK7SstiVBsupf_8OJsS5-C31463Qx6Y5zE9VEamxDFf1MQuWIKkmiKMsqIPRc9jxToLIlHxpBZHB5hUR3IRblGQBsfXAFWSf4fVYzUa5DYbF8hHkG2840mlG2-SK3c_lm1TWGh5hL6oTFRWc7MPVwXL6YOZC34oGt-byhCIXdECpAm9gSGBOSA65we1pzedYk_qKv3Bt5Mg5cQZVlMa0In0j73NmmfVl_ot-Erwl_elDkyWU48b_XI8vB0YXETZOUacdlsm1kymh0Ld-WDTUgd9QtxmcPDj0bc8ffJcN6lMkXZaSY_JrzNxzeZ8C9fx2-64UqnhG09_e25w9uXVyLRh8oBJ3iDB72_FHUz1CNu7mEmc0Kt0iVOdYgmx_DNr79FqvO7inaq3YBdQVJj4MTzXcQlnJUMPNeIjstWFiZZTDhiWZP32G0VBt-HqzymIFKwGK7CxifeXbaWkjsRBwsL7v_RelLndqRe3j2TkS77dwiHOQMc1viRA2N8sjdBdG7yanve6rLkemP-uriD4KDw90Wy1VENUqcH3tJcvztA93rPGqnXTDS235FVdgXJnt5bkE-dtdJSQbZG5B3SDWoibnOuqGWk8MIbv-Xgx6sFDqXTaml7lvDWICGatIlHi-SOW7K4bTB_OkaVPh3GXuDST6tl2-Hvvg8VFvC2o9bhNkkvI52H6yRELy7gLc-fZzn53Rz-Vq_QnUQFhnJTrP7z0dbmoE3fL2HhR8j3c0C79CmVMltUZXGaCGNqUC3bHYCNszorJxDieeaT6PHNn0OOf5LaQbgmzH2LdWVMcdmdu4THcEWAsChGWqGMswBbGiAcaXRCbAtWgpczbXClpoJr-Q7wMWY9yd1ag5Lifat3DtH4YcEXysTq4gVn8LYC1o_VzDEFCqX7oqTFmccDWX92WNuk3wjYeIRb_0AXY41WR80Z6q6o8Wsz9BwTScE--Ckt6e78wkNllKKkM26OfPtvnVNs-3MeODhpGQSNLG2Y7k9Vu3Nz1dgiwWRuPqzBm0iU_cms4sidCyKs566LueUnvx9olooA1hLW_5s9YsHrsxnlOqo1ccoTCDYQ6xH8bFy5EnLGGPZiArDOTJ1IruMzsYXO-0TaYoGldR2IMjykV0PTbD2h_S6yqBxGxfVgq5ZS6KMkLdE,&amp;data=UlNrNmk5WktYejY4cHFySjRXSWhXR2JUeDRhd2xDaHY1SktTd1lVMEgxYXJ0LXJ3WUpSNFFtWHRIOGE4ZWhsS3lHZFVJR0dQNXFHVUNjTHF6SzY5SjVBUTJkQnJhTDV1eU9ES0JaM0s3SWkzdXlmeTdNbkxzZ1lCWUpLZFAtX0VwYm5jN0RPYkppejE4Z244Z2d1d0U2X0hDYWRua1I3Zg,,&amp;sign=293c9637581accdfd8ec1c3f216927da&amp;keyno=0&amp;b64e=2&amp;ref=orjY4mGPRjk5boDnW0uvlrrd71vZw9kpVBUyA8nmgRF_B05tKqOm8rNQ1BOcfsrzZnzS_eeLMnq_nOamKBiNyAe2qkM8dt6zW6CE681zo4hL7JQuaeFtTEGlHPu4O1PIqHz8TInew3srQWD5li8OnueNTa7FvMYakKmwsqhs5wxY-8X52YvBF6nzv74kNpbkI5PIcuyASYzovyvPQX9vpP-jXTmzXi8uedzGV7tu-nl56osCBAx6Hw3YsV0l4StUKYUyiG0AAcmJgXxAf9wZbvEi3MVuatVKy7MzyDG48cCy9rEO3c_Br9w1rsxbqlyQNoDG-2F3PDqiqTD-aw66BGMmjDvh9KVSHvGcxBhm77lUxC9EEupdgzRQ3tBNrK8F&amp;l10n=ru&amp;cts=1613036935208%40%40events%3D%5B%7B%22event%22%3A%22click%22%2C%22id%22%3A%22a6b54x%22%2C%22cts%22%3A1613036935208%2C%22fast%22%3A%7B%22organic%22%3A1%7D%2C%22service%22%3A%22web%22%2C%22event-id%22%3A%22kl0ojktkuu%22%7D%5D&amp;mc=2.3219280948873626&amp;hdtime=15557.165</t>
  </si>
  <si>
    <t>ЭМАЛЬ КО-174 СЕРАЯ</t>
  </si>
  <si>
    <t>106</t>
  </si>
  <si>
    <t>107</t>
  </si>
  <si>
    <t>108</t>
  </si>
  <si>
    <t>109</t>
  </si>
  <si>
    <t>Демонтаж металлических дверных блоков</t>
  </si>
  <si>
    <t>110</t>
  </si>
  <si>
    <t xml:space="preserve">Установка металлических дверных блоков - </t>
  </si>
  <si>
    <t>Дверь входная, металлическая, отделка порошковое напыление, размер 2050х960</t>
  </si>
  <si>
    <t>https://msk.dveriinfo.com/category/vhodnie-dveri/960-2050/</t>
  </si>
  <si>
    <t>111</t>
  </si>
  <si>
    <t>112</t>
  </si>
  <si>
    <t>113</t>
  </si>
  <si>
    <t>Окраска поливинилацетатными водоэмульсионными составами улучшенная потолка</t>
  </si>
  <si>
    <t>114</t>
  </si>
  <si>
    <t>115</t>
  </si>
  <si>
    <t>Светильник потолочный или настенный с креплением винтами или болтами</t>
  </si>
  <si>
    <t>Светильник светодиодный "Varton" ЖКХ ,  18 W, 320х80, 5000 К, IP44,арт V1-UO-00086-21000-4401850</t>
  </si>
  <si>
    <t>https://varton24.ru/catalogs/svetodiodnoe-osveshenie-jkh/jkh-ip44/569</t>
  </si>
  <si>
    <t>116</t>
  </si>
  <si>
    <t>117</t>
  </si>
  <si>
    <t>Погрузка при авто перевозках вручную</t>
  </si>
  <si>
    <t>Перевозка грузов на расстояние 62 км</t>
  </si>
  <si>
    <t xml:space="preserve">Сплошное выравнивание штукатурки стен, внутри здания полимерцементным раствором при толщине намета до 5 мм  "АТЛАС"
</t>
  </si>
  <si>
    <t>Шпаклёвка финишная  , 5 кг</t>
  </si>
  <si>
    <t xml:space="preserve">Краска экологичная ВД цвет белый 2.7 л
</t>
  </si>
  <si>
    <t>Ламинат  32 класс толщина 8 мм 2.131 м²</t>
  </si>
  <si>
    <t>Штукатурка гипсовая 30 кг</t>
  </si>
  <si>
    <t>Шпаклёвка финишная , 5 кг</t>
  </si>
  <si>
    <t xml:space="preserve">Краска ВД цвет белый 2.7 л
</t>
  </si>
  <si>
    <t xml:space="preserve">ТЕНДЕРНЫЕ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</si>
</sst>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6.6"/>
      <color theme="10"/>
      <name val="Calibri"/>
      <family val="2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F3F3F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</cellStyleXfs>
  <cellXfs count="72">
    <xf numFmtId="0" fontId="0" fillId="0" borderId="0" xfId="0"/>
    <xf numFmtId="0" fontId="2" fillId="4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/>
    <xf numFmtId="0" fontId="2" fillId="4" borderId="0" xfId="0" applyFont="1" applyFill="1"/>
    <xf numFmtId="49" fontId="2" fillId="4" borderId="3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/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64" fontId="3" fillId="4" borderId="6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2" fontId="2" fillId="7" borderId="1" xfId="0" applyNumberFormat="1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top" wrapText="1"/>
    </xf>
    <xf numFmtId="0" fontId="3" fillId="4" borderId="0" xfId="0" applyFont="1" applyFill="1" applyAlignment="1">
      <alignment wrapText="1"/>
    </xf>
    <xf numFmtId="0" fontId="7" fillId="4" borderId="0" xfId="0" applyFont="1" applyFill="1" applyAlignment="1">
      <alignment horizontal="right" vertical="center" wrapText="1"/>
    </xf>
    <xf numFmtId="0" fontId="2" fillId="4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164" fontId="10" fillId="4" borderId="1" xfId="5" applyNumberFormat="1" applyFill="1" applyBorder="1" applyAlignment="1" applyProtection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3">
    <cellStyle name="Normal" xfId="8"/>
    <cellStyle name="Normal 2" xfId="11"/>
    <cellStyle name="Гиперссылка" xfId="5" builtinId="8"/>
    <cellStyle name="Гиперссылка 2" xfId="4"/>
    <cellStyle name="Гиперссылка 3" xfId="6"/>
    <cellStyle name="Денежный 2" xfId="1"/>
    <cellStyle name="Денежный 3" xfId="3"/>
    <cellStyle name="Обычный" xfId="0" builtinId="0"/>
    <cellStyle name="Обычный 2" xfId="2"/>
    <cellStyle name="Обычный 3" xfId="7"/>
    <cellStyle name="Обычный 4" xfId="9"/>
    <cellStyle name="Обычный 4 2" xfId="12"/>
    <cellStyle name="Обычный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roymerlin.ru/product/derzhatel-klipsa-dlya-trub-ekoplast-d16-mm-17964480/" TargetMode="External"/><Relationship Id="rId2" Type="http://schemas.openxmlformats.org/officeDocument/2006/relationships/hyperlink" Target="https://homesaver.ru/catalog/propitki_i_kraski/dekorativnaa_ognezasita/nortovskaya_gruntovka_antiseptik_norteks_grunt/" TargetMode="External"/><Relationship Id="rId1" Type="http://schemas.openxmlformats.org/officeDocument/2006/relationships/hyperlink" Target="https://leroymerlin.ru/product/betonkontakt-bolars-12-kg-15848303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topLeftCell="A187" zoomScale="74" zoomScaleNormal="74" workbookViewId="0">
      <selection activeCell="I207" sqref="I207"/>
    </sheetView>
  </sheetViews>
  <sheetFormatPr defaultColWidth="14.42578125" defaultRowHeight="15" x14ac:dyDescent="0.25"/>
  <cols>
    <col min="1" max="1" width="7.42578125" style="1" customWidth="1"/>
    <col min="2" max="2" width="47.5703125" style="7" customWidth="1"/>
    <col min="3" max="3" width="8.42578125" style="1" customWidth="1"/>
    <col min="4" max="4" width="12.7109375" style="1" customWidth="1"/>
    <col min="5" max="5" width="16.7109375" style="1" customWidth="1"/>
    <col min="6" max="6" width="15.5703125" style="24" customWidth="1"/>
    <col min="7" max="8" width="19" style="1" customWidth="1"/>
    <col min="9" max="9" width="20.5703125" style="1" customWidth="1"/>
    <col min="10" max="10" width="13.7109375" style="30" customWidth="1"/>
    <col min="11" max="11" width="15" style="8" customWidth="1"/>
    <col min="12" max="12" width="7" style="1" customWidth="1"/>
    <col min="13" max="16384" width="14.42578125" style="1"/>
  </cols>
  <sheetData>
    <row r="1" spans="1:13" s="6" customFormat="1" ht="39" customHeight="1" x14ac:dyDescent="0.2">
      <c r="A1" s="2" t="s">
        <v>0</v>
      </c>
      <c r="B1" s="3" t="s">
        <v>1</v>
      </c>
      <c r="C1" s="4" t="s">
        <v>2</v>
      </c>
      <c r="D1" s="4" t="s">
        <v>3</v>
      </c>
      <c r="E1" s="5" t="s">
        <v>15</v>
      </c>
      <c r="F1" s="23" t="s">
        <v>75</v>
      </c>
      <c r="G1" s="4" t="s">
        <v>66</v>
      </c>
      <c r="H1" s="4" t="s">
        <v>17</v>
      </c>
      <c r="I1" s="4" t="s">
        <v>16</v>
      </c>
      <c r="J1" s="31" t="s">
        <v>98</v>
      </c>
      <c r="K1" s="9" t="s">
        <v>4</v>
      </c>
      <c r="L1" s="9"/>
    </row>
    <row r="2" spans="1:13" s="6" customFormat="1" ht="14.25" x14ac:dyDescent="0.2">
      <c r="A2" s="26" t="s">
        <v>10</v>
      </c>
      <c r="B2" s="36" t="s">
        <v>130</v>
      </c>
      <c r="C2" s="27"/>
      <c r="D2" s="27"/>
      <c r="E2" s="28"/>
      <c r="F2" s="28"/>
      <c r="G2" s="27"/>
      <c r="H2" s="27"/>
      <c r="I2" s="27"/>
      <c r="J2" s="32"/>
      <c r="K2" s="29"/>
      <c r="L2" s="9"/>
    </row>
    <row r="3" spans="1:13" s="50" customFormat="1" ht="32.25" customHeight="1" x14ac:dyDescent="0.25">
      <c r="A3" s="52" t="s">
        <v>10</v>
      </c>
      <c r="B3" s="56" t="s">
        <v>131</v>
      </c>
      <c r="C3" s="53" t="s">
        <v>8</v>
      </c>
      <c r="D3" s="53">
        <v>168.42</v>
      </c>
      <c r="E3" s="59"/>
      <c r="F3" s="61">
        <v>50</v>
      </c>
      <c r="G3" s="54">
        <f t="shared" ref="G3" si="0">E3*D3</f>
        <v>0</v>
      </c>
      <c r="H3" s="54">
        <f t="shared" ref="H3" si="1">F3*D3</f>
        <v>8421</v>
      </c>
      <c r="I3" s="54">
        <f t="shared" ref="I3" si="2">G3+H3</f>
        <v>8421</v>
      </c>
      <c r="J3" s="62"/>
      <c r="K3" s="58"/>
      <c r="L3" s="55"/>
      <c r="M3" s="55"/>
    </row>
    <row r="4" spans="1:13" s="50" customFormat="1" ht="32.25" customHeight="1" x14ac:dyDescent="0.25">
      <c r="A4" s="52" t="s">
        <v>25</v>
      </c>
      <c r="B4" s="56" t="s">
        <v>132</v>
      </c>
      <c r="C4" s="53" t="s">
        <v>8</v>
      </c>
      <c r="D4" s="53">
        <v>4</v>
      </c>
      <c r="E4" s="59"/>
      <c r="F4" s="61">
        <v>300</v>
      </c>
      <c r="G4" s="54">
        <f t="shared" ref="G4:G67" si="3">E4*D4</f>
        <v>0</v>
      </c>
      <c r="H4" s="54">
        <f t="shared" ref="H4:H67" si="4">F4*D4</f>
        <v>1200</v>
      </c>
      <c r="I4" s="54">
        <f t="shared" ref="I4:I67" si="5">G4+H4</f>
        <v>1200</v>
      </c>
      <c r="J4" s="62"/>
      <c r="K4" s="58"/>
      <c r="L4" s="55"/>
      <c r="M4" s="55"/>
    </row>
    <row r="5" spans="1:13" s="50" customFormat="1" ht="19.5" customHeight="1" x14ac:dyDescent="0.25">
      <c r="A5" s="52"/>
      <c r="B5" s="57" t="s">
        <v>41</v>
      </c>
      <c r="C5" s="53" t="s">
        <v>14</v>
      </c>
      <c r="D5" s="53">
        <f>14*2*D4</f>
        <v>112</v>
      </c>
      <c r="E5" s="59">
        <f>198/25/1.2</f>
        <v>6.6000000000000005</v>
      </c>
      <c r="F5" s="61"/>
      <c r="G5" s="54">
        <f t="shared" si="3"/>
        <v>739.2</v>
      </c>
      <c r="H5" s="54">
        <f t="shared" si="4"/>
        <v>0</v>
      </c>
      <c r="I5" s="54">
        <f t="shared" si="5"/>
        <v>739.2</v>
      </c>
      <c r="J5" s="62"/>
      <c r="K5" s="58" t="s">
        <v>40</v>
      </c>
      <c r="L5" s="55"/>
      <c r="M5" s="55"/>
    </row>
    <row r="6" spans="1:13" s="50" customFormat="1" ht="21.75" customHeight="1" x14ac:dyDescent="0.25">
      <c r="A6" s="52"/>
      <c r="B6" s="57" t="s">
        <v>81</v>
      </c>
      <c r="C6" s="53" t="s">
        <v>14</v>
      </c>
      <c r="D6" s="53">
        <f>D4*0.1</f>
        <v>0.4</v>
      </c>
      <c r="E6" s="59">
        <f>670/12/1.2</f>
        <v>46.527777777777779</v>
      </c>
      <c r="F6" s="61"/>
      <c r="G6" s="54">
        <f t="shared" si="3"/>
        <v>18.611111111111111</v>
      </c>
      <c r="H6" s="54">
        <f t="shared" si="4"/>
        <v>0</v>
      </c>
      <c r="I6" s="54">
        <f t="shared" si="5"/>
        <v>18.611111111111111</v>
      </c>
      <c r="J6" s="62"/>
      <c r="K6" s="60" t="s">
        <v>80</v>
      </c>
      <c r="L6" s="55"/>
      <c r="M6" s="55"/>
    </row>
    <row r="7" spans="1:13" s="50" customFormat="1" ht="75" customHeight="1" x14ac:dyDescent="0.25">
      <c r="A7" s="52" t="s">
        <v>18</v>
      </c>
      <c r="B7" s="56" t="s">
        <v>299</v>
      </c>
      <c r="C7" s="53" t="s">
        <v>8</v>
      </c>
      <c r="D7" s="53">
        <v>168.42</v>
      </c>
      <c r="E7" s="59"/>
      <c r="F7" s="61">
        <v>180</v>
      </c>
      <c r="G7" s="54">
        <f t="shared" si="3"/>
        <v>0</v>
      </c>
      <c r="H7" s="54">
        <f t="shared" si="4"/>
        <v>30315.599999999999</v>
      </c>
      <c r="I7" s="54">
        <f t="shared" si="5"/>
        <v>30315.599999999999</v>
      </c>
      <c r="J7" s="62"/>
      <c r="K7" s="58"/>
      <c r="L7" s="55"/>
      <c r="M7" s="55"/>
    </row>
    <row r="8" spans="1:13" s="50" customFormat="1" ht="24" customHeight="1" x14ac:dyDescent="0.25">
      <c r="A8" s="52" t="s">
        <v>19</v>
      </c>
      <c r="B8" s="49" t="s">
        <v>135</v>
      </c>
      <c r="C8" s="53" t="s">
        <v>14</v>
      </c>
      <c r="D8" s="53">
        <v>21.89</v>
      </c>
      <c r="E8" s="59">
        <f>88.93/1.2</f>
        <v>74.108333333333348</v>
      </c>
      <c r="F8" s="61"/>
      <c r="G8" s="54">
        <f t="shared" si="3"/>
        <v>1622.231416666667</v>
      </c>
      <c r="H8" s="54">
        <f t="shared" si="4"/>
        <v>0</v>
      </c>
      <c r="I8" s="54">
        <f t="shared" si="5"/>
        <v>1622.231416666667</v>
      </c>
      <c r="J8" s="62"/>
      <c r="K8" s="58" t="s">
        <v>134</v>
      </c>
      <c r="L8" s="55"/>
      <c r="M8" s="55"/>
    </row>
    <row r="9" spans="1:13" s="50" customFormat="1" ht="30.75" customHeight="1" x14ac:dyDescent="0.25">
      <c r="A9" s="52" t="s">
        <v>11</v>
      </c>
      <c r="B9" s="57" t="s">
        <v>300</v>
      </c>
      <c r="C9" s="53" t="s">
        <v>14</v>
      </c>
      <c r="D9" s="53">
        <v>926.31</v>
      </c>
      <c r="E9" s="59">
        <v>42</v>
      </c>
      <c r="F9" s="61"/>
      <c r="G9" s="54">
        <f t="shared" si="3"/>
        <v>38905.019999999997</v>
      </c>
      <c r="H9" s="54">
        <f t="shared" si="4"/>
        <v>0</v>
      </c>
      <c r="I9" s="54">
        <f t="shared" si="5"/>
        <v>38905.019999999997</v>
      </c>
      <c r="J9" s="62"/>
      <c r="K9" s="58"/>
      <c r="L9" s="55"/>
      <c r="M9" s="55"/>
    </row>
    <row r="10" spans="1:13" s="50" customFormat="1" ht="62.25" customHeight="1" x14ac:dyDescent="0.25">
      <c r="A10" s="52" t="s">
        <v>12</v>
      </c>
      <c r="B10" s="56" t="s">
        <v>136</v>
      </c>
      <c r="C10" s="53" t="s">
        <v>8</v>
      </c>
      <c r="D10" s="53">
        <v>168.42</v>
      </c>
      <c r="E10" s="59"/>
      <c r="F10" s="61">
        <v>100</v>
      </c>
      <c r="G10" s="54">
        <f t="shared" si="3"/>
        <v>0</v>
      </c>
      <c r="H10" s="54">
        <f t="shared" si="4"/>
        <v>16842</v>
      </c>
      <c r="I10" s="54">
        <f t="shared" si="5"/>
        <v>16842</v>
      </c>
      <c r="J10" s="62"/>
      <c r="K10" s="58"/>
      <c r="L10" s="55"/>
      <c r="M10" s="55"/>
    </row>
    <row r="11" spans="1:13" s="50" customFormat="1" ht="44.25" customHeight="1" x14ac:dyDescent="0.25">
      <c r="A11" s="52"/>
      <c r="B11" s="49" t="s">
        <v>301</v>
      </c>
      <c r="C11" s="53" t="s">
        <v>14</v>
      </c>
      <c r="D11" s="53">
        <f>D10*0.2</f>
        <v>33.683999999999997</v>
      </c>
      <c r="E11" s="59">
        <v>250</v>
      </c>
      <c r="F11" s="61"/>
      <c r="G11" s="54">
        <f t="shared" si="3"/>
        <v>8421</v>
      </c>
      <c r="H11" s="54">
        <f t="shared" si="4"/>
        <v>0</v>
      </c>
      <c r="I11" s="54">
        <f t="shared" si="5"/>
        <v>8421</v>
      </c>
      <c r="J11" s="62"/>
      <c r="K11" s="58" t="s">
        <v>83</v>
      </c>
      <c r="L11" s="55"/>
      <c r="M11" s="55"/>
    </row>
    <row r="12" spans="1:13" s="50" customFormat="1" ht="35.25" customHeight="1" x14ac:dyDescent="0.25">
      <c r="A12" s="52"/>
      <c r="B12" s="57" t="s">
        <v>101</v>
      </c>
      <c r="C12" s="53" t="s">
        <v>34</v>
      </c>
      <c r="D12" s="53">
        <f>D10*0.1</f>
        <v>16.841999999999999</v>
      </c>
      <c r="E12" s="59">
        <f>56.8/1.2</f>
        <v>47.333333333333336</v>
      </c>
      <c r="F12" s="61"/>
      <c r="G12" s="54">
        <f t="shared" si="3"/>
        <v>797.18799999999999</v>
      </c>
      <c r="H12" s="54">
        <f t="shared" si="4"/>
        <v>0</v>
      </c>
      <c r="I12" s="54">
        <f t="shared" si="5"/>
        <v>797.18799999999999</v>
      </c>
      <c r="J12" s="62"/>
      <c r="K12" s="58" t="s">
        <v>100</v>
      </c>
      <c r="L12" s="55"/>
      <c r="M12" s="55"/>
    </row>
    <row r="13" spans="1:13" s="50" customFormat="1" ht="40.5" customHeight="1" x14ac:dyDescent="0.25">
      <c r="A13" s="52" t="s">
        <v>13</v>
      </c>
      <c r="B13" s="56" t="s">
        <v>137</v>
      </c>
      <c r="C13" s="53" t="s">
        <v>7</v>
      </c>
      <c r="D13" s="53">
        <v>54</v>
      </c>
      <c r="E13" s="59"/>
      <c r="F13" s="61">
        <v>12</v>
      </c>
      <c r="G13" s="54">
        <f t="shared" si="3"/>
        <v>0</v>
      </c>
      <c r="H13" s="54">
        <f t="shared" si="4"/>
        <v>648</v>
      </c>
      <c r="I13" s="54">
        <f t="shared" si="5"/>
        <v>648</v>
      </c>
      <c r="J13" s="62"/>
      <c r="K13" s="58"/>
      <c r="L13" s="55"/>
      <c r="M13" s="55"/>
    </row>
    <row r="14" spans="1:13" s="50" customFormat="1" ht="27.75" customHeight="1" x14ac:dyDescent="0.25">
      <c r="A14" s="52" t="s">
        <v>21</v>
      </c>
      <c r="B14" s="56" t="s">
        <v>67</v>
      </c>
      <c r="C14" s="53" t="s">
        <v>8</v>
      </c>
      <c r="D14" s="53">
        <v>47.3</v>
      </c>
      <c r="E14" s="59"/>
      <c r="F14" s="61">
        <v>36</v>
      </c>
      <c r="G14" s="54">
        <f t="shared" si="3"/>
        <v>0</v>
      </c>
      <c r="H14" s="54">
        <f t="shared" si="4"/>
        <v>1702.8</v>
      </c>
      <c r="I14" s="54">
        <f t="shared" si="5"/>
        <v>1702.8</v>
      </c>
      <c r="J14" s="62"/>
      <c r="K14" s="58"/>
      <c r="L14" s="55"/>
      <c r="M14" s="55"/>
    </row>
    <row r="15" spans="1:13" s="50" customFormat="1" ht="32.25" customHeight="1" x14ac:dyDescent="0.25">
      <c r="A15" s="52" t="s">
        <v>22</v>
      </c>
      <c r="B15" s="56" t="s">
        <v>138</v>
      </c>
      <c r="C15" s="53" t="s">
        <v>8</v>
      </c>
      <c r="D15" s="53">
        <v>47.3</v>
      </c>
      <c r="E15" s="59"/>
      <c r="F15" s="61">
        <v>350</v>
      </c>
      <c r="G15" s="54">
        <f t="shared" si="3"/>
        <v>0</v>
      </c>
      <c r="H15" s="54">
        <f t="shared" si="4"/>
        <v>16555</v>
      </c>
      <c r="I15" s="54">
        <f t="shared" si="5"/>
        <v>16555</v>
      </c>
      <c r="J15" s="62"/>
      <c r="K15" s="58"/>
      <c r="L15" s="55"/>
      <c r="M15" s="55"/>
    </row>
    <row r="16" spans="1:13" s="50" customFormat="1" ht="32.25" customHeight="1" x14ac:dyDescent="0.25">
      <c r="A16" s="52"/>
      <c r="B16" s="57" t="s">
        <v>140</v>
      </c>
      <c r="C16" s="53" t="s">
        <v>8</v>
      </c>
      <c r="D16" s="53">
        <f>D15*1.1</f>
        <v>52.03</v>
      </c>
      <c r="E16" s="59">
        <v>250</v>
      </c>
      <c r="F16" s="61"/>
      <c r="G16" s="54">
        <f t="shared" si="3"/>
        <v>13007.5</v>
      </c>
      <c r="H16" s="54">
        <f t="shared" si="4"/>
        <v>0</v>
      </c>
      <c r="I16" s="54">
        <f t="shared" si="5"/>
        <v>13007.5</v>
      </c>
      <c r="J16" s="62"/>
      <c r="K16" s="58" t="s">
        <v>139</v>
      </c>
      <c r="L16" s="55"/>
      <c r="M16" s="55"/>
    </row>
    <row r="17" spans="1:13" s="50" customFormat="1" ht="15.75" customHeight="1" x14ac:dyDescent="0.25">
      <c r="A17" s="52"/>
      <c r="B17" s="57" t="s">
        <v>142</v>
      </c>
      <c r="C17" s="53" t="s">
        <v>14</v>
      </c>
      <c r="D17" s="53">
        <f>D15*0.9</f>
        <v>42.57</v>
      </c>
      <c r="E17" s="59">
        <v>240</v>
      </c>
      <c r="F17" s="61"/>
      <c r="G17" s="54">
        <f t="shared" si="3"/>
        <v>10216.799999999999</v>
      </c>
      <c r="H17" s="54">
        <f t="shared" si="4"/>
        <v>0</v>
      </c>
      <c r="I17" s="54">
        <f t="shared" si="5"/>
        <v>10216.799999999999</v>
      </c>
      <c r="J17" s="62"/>
      <c r="K17" s="58" t="s">
        <v>141</v>
      </c>
      <c r="L17" s="55"/>
      <c r="M17" s="55"/>
    </row>
    <row r="18" spans="1:13" s="50" customFormat="1" ht="18.75" customHeight="1" x14ac:dyDescent="0.25">
      <c r="A18" s="52"/>
      <c r="B18" s="57" t="s">
        <v>82</v>
      </c>
      <c r="C18" s="53" t="s">
        <v>9</v>
      </c>
      <c r="D18" s="53">
        <f>D15*12</f>
        <v>567.59999999999991</v>
      </c>
      <c r="E18" s="59">
        <v>2.5</v>
      </c>
      <c r="F18" s="61"/>
      <c r="G18" s="54">
        <f t="shared" si="3"/>
        <v>1418.9999999999998</v>
      </c>
      <c r="H18" s="54">
        <f t="shared" si="4"/>
        <v>0</v>
      </c>
      <c r="I18" s="54">
        <f t="shared" si="5"/>
        <v>1418.9999999999998</v>
      </c>
      <c r="J18" s="62"/>
      <c r="K18" s="58"/>
      <c r="L18" s="55"/>
      <c r="M18" s="55"/>
    </row>
    <row r="19" spans="1:13" s="50" customFormat="1" ht="32.25" customHeight="1" x14ac:dyDescent="0.25">
      <c r="A19" s="52" t="s">
        <v>23</v>
      </c>
      <c r="B19" s="56" t="s">
        <v>143</v>
      </c>
      <c r="C19" s="53" t="s">
        <v>8</v>
      </c>
      <c r="D19" s="53">
        <v>47.3</v>
      </c>
      <c r="E19" s="59"/>
      <c r="F19" s="61">
        <v>200</v>
      </c>
      <c r="G19" s="54">
        <f t="shared" si="3"/>
        <v>0</v>
      </c>
      <c r="H19" s="54">
        <f t="shared" si="4"/>
        <v>9460</v>
      </c>
      <c r="I19" s="54">
        <f t="shared" si="5"/>
        <v>9460</v>
      </c>
      <c r="J19" s="62"/>
      <c r="K19" s="58"/>
      <c r="L19" s="55"/>
      <c r="M19" s="55"/>
    </row>
    <row r="20" spans="1:13" s="50" customFormat="1" ht="32.25" customHeight="1" x14ac:dyDescent="0.25">
      <c r="A20" s="52" t="s">
        <v>29</v>
      </c>
      <c r="B20" s="57" t="s">
        <v>302</v>
      </c>
      <c r="C20" s="53" t="s">
        <v>8</v>
      </c>
      <c r="D20" s="53">
        <v>48.48</v>
      </c>
      <c r="E20" s="59">
        <v>300</v>
      </c>
      <c r="F20" s="61"/>
      <c r="G20" s="54">
        <f t="shared" si="3"/>
        <v>14543.999999999998</v>
      </c>
      <c r="H20" s="54">
        <f t="shared" si="4"/>
        <v>0</v>
      </c>
      <c r="I20" s="54">
        <f t="shared" si="5"/>
        <v>14543.999999999998</v>
      </c>
      <c r="J20" s="62"/>
      <c r="K20" s="58" t="s">
        <v>144</v>
      </c>
      <c r="L20" s="55"/>
      <c r="M20" s="55"/>
    </row>
    <row r="21" spans="1:13" s="50" customFormat="1" ht="32.25" customHeight="1" x14ac:dyDescent="0.25">
      <c r="A21" s="52"/>
      <c r="B21" s="57" t="s">
        <v>146</v>
      </c>
      <c r="C21" s="53" t="s">
        <v>8</v>
      </c>
      <c r="D21" s="53">
        <f>D20</f>
        <v>48.48</v>
      </c>
      <c r="E21" s="59">
        <f>158/6</f>
        <v>26.333333333333332</v>
      </c>
      <c r="F21" s="61"/>
      <c r="G21" s="54">
        <f t="shared" si="3"/>
        <v>1276.6399999999999</v>
      </c>
      <c r="H21" s="54">
        <f t="shared" si="4"/>
        <v>0</v>
      </c>
      <c r="I21" s="54">
        <f t="shared" si="5"/>
        <v>1276.6399999999999</v>
      </c>
      <c r="J21" s="62"/>
      <c r="K21" s="58" t="s">
        <v>145</v>
      </c>
      <c r="L21" s="55"/>
      <c r="M21" s="55"/>
    </row>
    <row r="22" spans="1:13" s="50" customFormat="1" ht="32.25" customHeight="1" x14ac:dyDescent="0.25">
      <c r="A22" s="52" t="s">
        <v>24</v>
      </c>
      <c r="B22" s="56" t="s">
        <v>147</v>
      </c>
      <c r="C22" s="53" t="s">
        <v>7</v>
      </c>
      <c r="D22" s="53">
        <v>54</v>
      </c>
      <c r="E22" s="59"/>
      <c r="F22" s="61">
        <v>45</v>
      </c>
      <c r="G22" s="54">
        <f t="shared" si="3"/>
        <v>0</v>
      </c>
      <c r="H22" s="54">
        <f t="shared" si="4"/>
        <v>2430</v>
      </c>
      <c r="I22" s="54">
        <f t="shared" si="5"/>
        <v>2430</v>
      </c>
      <c r="J22" s="62"/>
      <c r="K22" s="58"/>
      <c r="L22" s="55"/>
      <c r="M22" s="55"/>
    </row>
    <row r="23" spans="1:13" s="50" customFormat="1" ht="32.25" customHeight="1" x14ac:dyDescent="0.25">
      <c r="A23" s="52"/>
      <c r="B23" s="57" t="s">
        <v>148</v>
      </c>
      <c r="C23" s="53" t="s">
        <v>7</v>
      </c>
      <c r="D23" s="53">
        <f>D22*1.1</f>
        <v>59.400000000000006</v>
      </c>
      <c r="E23" s="59">
        <v>40</v>
      </c>
      <c r="F23" s="61"/>
      <c r="G23" s="54">
        <f t="shared" si="3"/>
        <v>2376</v>
      </c>
      <c r="H23" s="54">
        <f t="shared" si="4"/>
        <v>0</v>
      </c>
      <c r="I23" s="54">
        <f t="shared" si="5"/>
        <v>2376</v>
      </c>
      <c r="J23" s="62"/>
      <c r="K23" s="58" t="s">
        <v>150</v>
      </c>
      <c r="L23" s="55"/>
      <c r="M23" s="55"/>
    </row>
    <row r="24" spans="1:13" s="50" customFormat="1" ht="18.75" customHeight="1" x14ac:dyDescent="0.25">
      <c r="A24" s="52"/>
      <c r="B24" s="57" t="s">
        <v>82</v>
      </c>
      <c r="C24" s="53" t="s">
        <v>9</v>
      </c>
      <c r="D24" s="53">
        <f>D22*3</f>
        <v>162</v>
      </c>
      <c r="E24" s="59">
        <v>2.5</v>
      </c>
      <c r="F24" s="61"/>
      <c r="G24" s="54">
        <f t="shared" si="3"/>
        <v>405</v>
      </c>
      <c r="H24" s="54">
        <f t="shared" si="4"/>
        <v>0</v>
      </c>
      <c r="I24" s="54">
        <f t="shared" si="5"/>
        <v>405</v>
      </c>
      <c r="J24" s="62"/>
      <c r="K24" s="58"/>
      <c r="L24" s="55"/>
      <c r="M24" s="55"/>
    </row>
    <row r="25" spans="1:13" s="50" customFormat="1" ht="32.25" customHeight="1" x14ac:dyDescent="0.25">
      <c r="A25" s="52" t="s">
        <v>103</v>
      </c>
      <c r="B25" s="56" t="s">
        <v>149</v>
      </c>
      <c r="C25" s="53" t="s">
        <v>7</v>
      </c>
      <c r="D25" s="53">
        <v>3.2</v>
      </c>
      <c r="E25" s="59"/>
      <c r="F25" s="61">
        <v>66</v>
      </c>
      <c r="G25" s="54">
        <f t="shared" si="3"/>
        <v>0</v>
      </c>
      <c r="H25" s="54">
        <f t="shared" si="4"/>
        <v>211.20000000000002</v>
      </c>
      <c r="I25" s="54">
        <f t="shared" si="5"/>
        <v>211.20000000000002</v>
      </c>
      <c r="J25" s="62"/>
      <c r="K25" s="58"/>
      <c r="L25" s="55"/>
      <c r="M25" s="55"/>
    </row>
    <row r="26" spans="1:13" s="50" customFormat="1" ht="32.25" customHeight="1" x14ac:dyDescent="0.25">
      <c r="A26" s="52" t="s">
        <v>104</v>
      </c>
      <c r="B26" s="57" t="s">
        <v>152</v>
      </c>
      <c r="C26" s="53" t="s">
        <v>9</v>
      </c>
      <c r="D26" s="53">
        <v>4</v>
      </c>
      <c r="E26" s="59">
        <f>117</f>
        <v>117</v>
      </c>
      <c r="F26" s="61"/>
      <c r="G26" s="54">
        <f t="shared" si="3"/>
        <v>468</v>
      </c>
      <c r="H26" s="54">
        <f t="shared" si="4"/>
        <v>0</v>
      </c>
      <c r="I26" s="54">
        <f t="shared" si="5"/>
        <v>468</v>
      </c>
      <c r="J26" s="62"/>
      <c r="K26" s="58" t="s">
        <v>151</v>
      </c>
      <c r="L26" s="55"/>
      <c r="M26" s="55"/>
    </row>
    <row r="27" spans="1:13" s="50" customFormat="1" ht="18.75" customHeight="1" x14ac:dyDescent="0.25">
      <c r="A27" s="52"/>
      <c r="B27" s="57" t="s">
        <v>82</v>
      </c>
      <c r="C27" s="53" t="s">
        <v>9</v>
      </c>
      <c r="D27" s="53">
        <f>D25*4</f>
        <v>12.8</v>
      </c>
      <c r="E27" s="59">
        <v>2.5</v>
      </c>
      <c r="F27" s="61"/>
      <c r="G27" s="54">
        <f t="shared" si="3"/>
        <v>32</v>
      </c>
      <c r="H27" s="54">
        <f t="shared" si="4"/>
        <v>0</v>
      </c>
      <c r="I27" s="54">
        <f t="shared" si="5"/>
        <v>32</v>
      </c>
      <c r="J27" s="62"/>
      <c r="K27" s="58"/>
      <c r="L27" s="55"/>
      <c r="M27" s="55"/>
    </row>
    <row r="28" spans="1:13" s="50" customFormat="1" ht="32.25" customHeight="1" x14ac:dyDescent="0.25">
      <c r="A28" s="52" t="s">
        <v>26</v>
      </c>
      <c r="B28" s="56" t="s">
        <v>153</v>
      </c>
      <c r="C28" s="53" t="s">
        <v>8</v>
      </c>
      <c r="D28" s="53">
        <v>25.8</v>
      </c>
      <c r="E28" s="59"/>
      <c r="F28" s="61">
        <v>150</v>
      </c>
      <c r="G28" s="54">
        <f t="shared" si="3"/>
        <v>0</v>
      </c>
      <c r="H28" s="54">
        <f t="shared" si="4"/>
        <v>3870</v>
      </c>
      <c r="I28" s="54">
        <f t="shared" si="5"/>
        <v>3870</v>
      </c>
      <c r="J28" s="62"/>
      <c r="K28" s="58"/>
      <c r="L28" s="55"/>
      <c r="M28" s="55"/>
    </row>
    <row r="29" spans="1:13" s="50" customFormat="1" ht="32.25" customHeight="1" x14ac:dyDescent="0.25">
      <c r="A29" s="52" t="s">
        <v>27</v>
      </c>
      <c r="B29" s="40" t="s">
        <v>112</v>
      </c>
      <c r="C29" s="46" t="s">
        <v>8</v>
      </c>
      <c r="D29" s="41">
        <v>47.3</v>
      </c>
      <c r="E29" s="45"/>
      <c r="F29" s="61">
        <v>320</v>
      </c>
      <c r="G29" s="54">
        <f t="shared" si="3"/>
        <v>0</v>
      </c>
      <c r="H29" s="54">
        <f t="shared" si="4"/>
        <v>15136</v>
      </c>
      <c r="I29" s="54">
        <f t="shared" si="5"/>
        <v>15136</v>
      </c>
      <c r="J29" s="62"/>
      <c r="K29" s="58"/>
      <c r="L29" s="55"/>
      <c r="M29" s="55"/>
    </row>
    <row r="30" spans="1:13" s="50" customFormat="1" ht="32.25" customHeight="1" x14ac:dyDescent="0.25">
      <c r="A30" s="52"/>
      <c r="B30" s="47" t="s">
        <v>121</v>
      </c>
      <c r="C30" s="46" t="s">
        <v>9</v>
      </c>
      <c r="D30" s="41">
        <f>D29*2.78</f>
        <v>131.49399999999997</v>
      </c>
      <c r="E30" s="42">
        <v>70</v>
      </c>
      <c r="F30" s="61"/>
      <c r="G30" s="54">
        <f t="shared" si="3"/>
        <v>9204.5799999999981</v>
      </c>
      <c r="H30" s="54">
        <f t="shared" si="4"/>
        <v>0</v>
      </c>
      <c r="I30" s="54">
        <f t="shared" si="5"/>
        <v>9204.5799999999981</v>
      </c>
      <c r="J30" s="62"/>
      <c r="K30" s="58" t="s">
        <v>120</v>
      </c>
      <c r="L30" s="55"/>
      <c r="M30" s="55"/>
    </row>
    <row r="31" spans="1:13" s="50" customFormat="1" ht="17.25" customHeight="1" x14ac:dyDescent="0.25">
      <c r="A31" s="52"/>
      <c r="B31" s="47" t="s">
        <v>113</v>
      </c>
      <c r="C31" s="46" t="s">
        <v>9</v>
      </c>
      <c r="D31" s="41">
        <f>D30*0.15</f>
        <v>19.724099999999996</v>
      </c>
      <c r="E31" s="42">
        <v>70</v>
      </c>
      <c r="F31" s="61"/>
      <c r="G31" s="54">
        <f t="shared" si="3"/>
        <v>1380.6869999999997</v>
      </c>
      <c r="H31" s="54">
        <f t="shared" si="4"/>
        <v>0</v>
      </c>
      <c r="I31" s="54">
        <f t="shared" si="5"/>
        <v>1380.6869999999997</v>
      </c>
      <c r="J31" s="62"/>
      <c r="K31" s="58"/>
      <c r="L31" s="55"/>
      <c r="M31" s="55"/>
    </row>
    <row r="32" spans="1:13" s="50" customFormat="1" ht="32.25" customHeight="1" x14ac:dyDescent="0.25">
      <c r="A32" s="52"/>
      <c r="B32" s="44" t="s">
        <v>114</v>
      </c>
      <c r="C32" s="46" t="s">
        <v>9</v>
      </c>
      <c r="D32" s="45">
        <f>D29*0.23</f>
        <v>10.879</v>
      </c>
      <c r="E32" s="45">
        <v>85</v>
      </c>
      <c r="F32" s="61"/>
      <c r="G32" s="54">
        <f t="shared" si="3"/>
        <v>924.71499999999992</v>
      </c>
      <c r="H32" s="54">
        <f t="shared" si="4"/>
        <v>0</v>
      </c>
      <c r="I32" s="54">
        <f t="shared" si="5"/>
        <v>924.71499999999992</v>
      </c>
      <c r="J32" s="62"/>
      <c r="K32" s="58"/>
      <c r="L32" s="55"/>
      <c r="M32" s="55"/>
    </row>
    <row r="33" spans="1:13" s="50" customFormat="1" ht="32.25" customHeight="1" x14ac:dyDescent="0.25">
      <c r="A33" s="52"/>
      <c r="B33" s="44" t="s">
        <v>115</v>
      </c>
      <c r="C33" s="46" t="s">
        <v>9</v>
      </c>
      <c r="D33" s="45">
        <f>D29*1.4</f>
        <v>66.22</v>
      </c>
      <c r="E33" s="45">
        <v>28.333333333333336</v>
      </c>
      <c r="F33" s="61"/>
      <c r="G33" s="54">
        <f t="shared" si="3"/>
        <v>1876.2333333333333</v>
      </c>
      <c r="H33" s="54">
        <f t="shared" si="4"/>
        <v>0</v>
      </c>
      <c r="I33" s="54">
        <f t="shared" si="5"/>
        <v>1876.2333333333333</v>
      </c>
      <c r="J33" s="62"/>
      <c r="K33" s="58"/>
      <c r="L33" s="55"/>
      <c r="M33" s="55"/>
    </row>
    <row r="34" spans="1:13" s="50" customFormat="1" ht="32.25" customHeight="1" x14ac:dyDescent="0.25">
      <c r="A34" s="52"/>
      <c r="B34" s="44" t="s">
        <v>116</v>
      </c>
      <c r="C34" s="46" t="s">
        <v>9</v>
      </c>
      <c r="D34" s="45">
        <f>D29*1.4</f>
        <v>66.22</v>
      </c>
      <c r="E34" s="45">
        <v>14.166666666666668</v>
      </c>
      <c r="F34" s="61"/>
      <c r="G34" s="54">
        <f t="shared" si="3"/>
        <v>938.11666666666667</v>
      </c>
      <c r="H34" s="54">
        <f t="shared" si="4"/>
        <v>0</v>
      </c>
      <c r="I34" s="54">
        <f t="shared" si="5"/>
        <v>938.11666666666667</v>
      </c>
      <c r="J34" s="62"/>
      <c r="K34" s="58"/>
      <c r="L34" s="55"/>
      <c r="M34" s="55"/>
    </row>
    <row r="35" spans="1:13" s="50" customFormat="1" ht="32.25" customHeight="1" x14ac:dyDescent="0.25">
      <c r="A35" s="52"/>
      <c r="B35" s="44" t="s">
        <v>117</v>
      </c>
      <c r="C35" s="46" t="s">
        <v>9</v>
      </c>
      <c r="D35" s="45">
        <f>D29*0.5</f>
        <v>23.65</v>
      </c>
      <c r="E35" s="45">
        <v>51.666666666666671</v>
      </c>
      <c r="F35" s="61"/>
      <c r="G35" s="54">
        <f t="shared" si="3"/>
        <v>1221.9166666666667</v>
      </c>
      <c r="H35" s="54">
        <f t="shared" si="4"/>
        <v>0</v>
      </c>
      <c r="I35" s="54">
        <f t="shared" si="5"/>
        <v>1221.9166666666667</v>
      </c>
      <c r="J35" s="62"/>
      <c r="K35" s="58"/>
      <c r="L35" s="55"/>
      <c r="M35" s="55"/>
    </row>
    <row r="36" spans="1:13" s="50" customFormat="1" ht="15.75" customHeight="1" x14ac:dyDescent="0.25">
      <c r="A36" s="52"/>
      <c r="B36" s="44" t="s">
        <v>118</v>
      </c>
      <c r="C36" s="46" t="s">
        <v>9</v>
      </c>
      <c r="D36" s="45">
        <f>D29*0.7</f>
        <v>33.11</v>
      </c>
      <c r="E36" s="45">
        <v>8.3333333333333339</v>
      </c>
      <c r="F36" s="61"/>
      <c r="G36" s="54">
        <f t="shared" si="3"/>
        <v>275.91666666666669</v>
      </c>
      <c r="H36" s="54">
        <f t="shared" si="4"/>
        <v>0</v>
      </c>
      <c r="I36" s="54">
        <f t="shared" si="5"/>
        <v>275.91666666666669</v>
      </c>
      <c r="J36" s="62"/>
      <c r="K36" s="58"/>
      <c r="L36" s="55"/>
      <c r="M36" s="55"/>
    </row>
    <row r="37" spans="1:13" s="50" customFormat="1" ht="18" customHeight="1" x14ac:dyDescent="0.25">
      <c r="A37" s="52"/>
      <c r="B37" s="44" t="s">
        <v>119</v>
      </c>
      <c r="C37" s="43" t="s">
        <v>9</v>
      </c>
      <c r="D37" s="45">
        <f>D29*1.4</f>
        <v>66.22</v>
      </c>
      <c r="E37" s="45">
        <v>9.0555555555555571</v>
      </c>
      <c r="F37" s="61"/>
      <c r="G37" s="54">
        <f t="shared" si="3"/>
        <v>599.65888888888901</v>
      </c>
      <c r="H37" s="54">
        <f t="shared" si="4"/>
        <v>0</v>
      </c>
      <c r="I37" s="54">
        <f t="shared" si="5"/>
        <v>599.65888888888901</v>
      </c>
      <c r="J37" s="62"/>
      <c r="K37" s="58"/>
      <c r="L37" s="55"/>
      <c r="M37" s="55"/>
    </row>
    <row r="38" spans="1:13" s="50" customFormat="1" ht="61.5" customHeight="1" x14ac:dyDescent="0.25">
      <c r="A38" s="52" t="s">
        <v>68</v>
      </c>
      <c r="B38" s="56" t="s">
        <v>107</v>
      </c>
      <c r="C38" s="53" t="s">
        <v>8</v>
      </c>
      <c r="D38" s="53">
        <v>8.4</v>
      </c>
      <c r="E38" s="59"/>
      <c r="F38" s="61">
        <v>300</v>
      </c>
      <c r="G38" s="54">
        <f t="shared" si="3"/>
        <v>0</v>
      </c>
      <c r="H38" s="54">
        <f t="shared" si="4"/>
        <v>2520</v>
      </c>
      <c r="I38" s="54">
        <f t="shared" si="5"/>
        <v>2520</v>
      </c>
      <c r="J38" s="62"/>
      <c r="K38" s="58"/>
      <c r="L38" s="55"/>
      <c r="M38" s="55"/>
    </row>
    <row r="39" spans="1:13" s="50" customFormat="1" ht="32.25" customHeight="1" x14ac:dyDescent="0.25">
      <c r="A39" s="52"/>
      <c r="B39" s="57" t="s">
        <v>109</v>
      </c>
      <c r="C39" s="53" t="s">
        <v>14</v>
      </c>
      <c r="D39" s="53">
        <f>0.2*D38</f>
        <v>1.6800000000000002</v>
      </c>
      <c r="E39" s="59">
        <f>219/0.5/1.2</f>
        <v>365</v>
      </c>
      <c r="F39" s="61"/>
      <c r="G39" s="54">
        <f t="shared" si="3"/>
        <v>613.20000000000005</v>
      </c>
      <c r="H39" s="54">
        <f t="shared" si="4"/>
        <v>0</v>
      </c>
      <c r="I39" s="54">
        <f t="shared" si="5"/>
        <v>613.20000000000005</v>
      </c>
      <c r="J39" s="62"/>
      <c r="K39" s="58" t="s">
        <v>108</v>
      </c>
      <c r="L39" s="55"/>
      <c r="M39" s="55"/>
    </row>
    <row r="40" spans="1:13" s="50" customFormat="1" ht="32.25" customHeight="1" x14ac:dyDescent="0.25">
      <c r="A40" s="52"/>
      <c r="B40" s="57" t="s">
        <v>111</v>
      </c>
      <c r="C40" s="53" t="s">
        <v>14</v>
      </c>
      <c r="D40" s="53">
        <f>D38*0.15</f>
        <v>1.26</v>
      </c>
      <c r="E40" s="59">
        <f>83.16</f>
        <v>83.16</v>
      </c>
      <c r="F40" s="61"/>
      <c r="G40" s="54">
        <f t="shared" si="3"/>
        <v>104.7816</v>
      </c>
      <c r="H40" s="54">
        <f t="shared" si="4"/>
        <v>0</v>
      </c>
      <c r="I40" s="54">
        <f t="shared" si="5"/>
        <v>104.7816</v>
      </c>
      <c r="J40" s="62"/>
      <c r="K40" s="58" t="s">
        <v>110</v>
      </c>
      <c r="L40" s="55"/>
      <c r="M40" s="55"/>
    </row>
    <row r="41" spans="1:13" s="50" customFormat="1" ht="52.5" customHeight="1" x14ac:dyDescent="0.25">
      <c r="A41" s="52" t="s">
        <v>69</v>
      </c>
      <c r="B41" s="56" t="s">
        <v>154</v>
      </c>
      <c r="C41" s="53" t="s">
        <v>8</v>
      </c>
      <c r="D41" s="53">
        <v>1.5</v>
      </c>
      <c r="E41" s="59"/>
      <c r="F41" s="61">
        <v>300</v>
      </c>
      <c r="G41" s="54">
        <f t="shared" si="3"/>
        <v>0</v>
      </c>
      <c r="H41" s="54">
        <f t="shared" si="4"/>
        <v>450</v>
      </c>
      <c r="I41" s="54">
        <f t="shared" si="5"/>
        <v>450</v>
      </c>
      <c r="J41" s="62"/>
      <c r="K41" s="58"/>
      <c r="L41" s="55"/>
      <c r="M41" s="55"/>
    </row>
    <row r="42" spans="1:13" s="50" customFormat="1" ht="32.25" customHeight="1" x14ac:dyDescent="0.25">
      <c r="A42" s="52"/>
      <c r="B42" s="57" t="s">
        <v>109</v>
      </c>
      <c r="C42" s="53" t="s">
        <v>14</v>
      </c>
      <c r="D42" s="53">
        <f>0.2*D41</f>
        <v>0.30000000000000004</v>
      </c>
      <c r="E42" s="59">
        <f>219/0.5/1.2</f>
        <v>365</v>
      </c>
      <c r="F42" s="61"/>
      <c r="G42" s="54">
        <f t="shared" si="3"/>
        <v>109.50000000000001</v>
      </c>
      <c r="H42" s="54">
        <f t="shared" si="4"/>
        <v>0</v>
      </c>
      <c r="I42" s="54">
        <f t="shared" si="5"/>
        <v>109.50000000000001</v>
      </c>
      <c r="J42" s="62"/>
      <c r="K42" s="58" t="s">
        <v>108</v>
      </c>
      <c r="L42" s="55"/>
      <c r="M42" s="55"/>
    </row>
    <row r="43" spans="1:13" s="50" customFormat="1" ht="32.25" customHeight="1" x14ac:dyDescent="0.25">
      <c r="A43" s="52"/>
      <c r="B43" s="57" t="s">
        <v>111</v>
      </c>
      <c r="C43" s="53" t="s">
        <v>14</v>
      </c>
      <c r="D43" s="53">
        <f>D41*0.15</f>
        <v>0.22499999999999998</v>
      </c>
      <c r="E43" s="59">
        <f>83.16</f>
        <v>83.16</v>
      </c>
      <c r="F43" s="61"/>
      <c r="G43" s="54">
        <f t="shared" si="3"/>
        <v>18.710999999999999</v>
      </c>
      <c r="H43" s="54">
        <f t="shared" si="4"/>
        <v>0</v>
      </c>
      <c r="I43" s="54">
        <f t="shared" si="5"/>
        <v>18.710999999999999</v>
      </c>
      <c r="J43" s="62"/>
      <c r="K43" s="58" t="s">
        <v>110</v>
      </c>
      <c r="L43" s="55"/>
      <c r="M43" s="55"/>
    </row>
    <row r="44" spans="1:13" s="50" customFormat="1" ht="26.25" customHeight="1" x14ac:dyDescent="0.25">
      <c r="A44" s="52" t="s">
        <v>70</v>
      </c>
      <c r="B44" s="56" t="s">
        <v>155</v>
      </c>
      <c r="C44" s="53" t="s">
        <v>9</v>
      </c>
      <c r="D44" s="53">
        <v>4</v>
      </c>
      <c r="E44" s="59">
        <f>365/1.2</f>
        <v>304.16666666666669</v>
      </c>
      <c r="F44" s="61">
        <v>332</v>
      </c>
      <c r="G44" s="54">
        <f t="shared" si="3"/>
        <v>1216.6666666666667</v>
      </c>
      <c r="H44" s="54">
        <f t="shared" si="4"/>
        <v>1328</v>
      </c>
      <c r="I44" s="54">
        <f t="shared" si="5"/>
        <v>2544.666666666667</v>
      </c>
      <c r="J44" s="62"/>
      <c r="K44" s="58" t="s">
        <v>156</v>
      </c>
      <c r="L44" s="55"/>
      <c r="M44" s="55"/>
    </row>
    <row r="45" spans="1:13" s="50" customFormat="1" ht="40.5" customHeight="1" x14ac:dyDescent="0.25">
      <c r="A45" s="52" t="s">
        <v>71</v>
      </c>
      <c r="B45" s="56" t="s">
        <v>99</v>
      </c>
      <c r="C45" s="53" t="s">
        <v>8</v>
      </c>
      <c r="D45" s="53">
        <v>5.4</v>
      </c>
      <c r="E45" s="59"/>
      <c r="F45" s="61">
        <v>332.2</v>
      </c>
      <c r="G45" s="54">
        <f t="shared" si="3"/>
        <v>0</v>
      </c>
      <c r="H45" s="54">
        <f t="shared" si="4"/>
        <v>1793.88</v>
      </c>
      <c r="I45" s="54">
        <f t="shared" si="5"/>
        <v>1793.88</v>
      </c>
      <c r="J45" s="62"/>
      <c r="K45" s="58"/>
      <c r="L45" s="55"/>
      <c r="M45" s="55"/>
    </row>
    <row r="46" spans="1:13" s="50" customFormat="1" ht="23.25" customHeight="1" x14ac:dyDescent="0.25">
      <c r="A46" s="52" t="s">
        <v>157</v>
      </c>
      <c r="B46" s="56" t="s">
        <v>158</v>
      </c>
      <c r="C46" s="53" t="s">
        <v>9</v>
      </c>
      <c r="D46" s="53">
        <v>2</v>
      </c>
      <c r="E46" s="59"/>
      <c r="F46" s="61">
        <f>722*2</f>
        <v>1444</v>
      </c>
      <c r="G46" s="54">
        <f t="shared" si="3"/>
        <v>0</v>
      </c>
      <c r="H46" s="54">
        <f t="shared" si="4"/>
        <v>2888</v>
      </c>
      <c r="I46" s="54">
        <f t="shared" si="5"/>
        <v>2888</v>
      </c>
      <c r="J46" s="62"/>
      <c r="K46" s="58"/>
      <c r="L46" s="55"/>
      <c r="M46" s="55"/>
    </row>
    <row r="47" spans="1:13" s="50" customFormat="1" ht="43.5" customHeight="1" x14ac:dyDescent="0.25">
      <c r="A47" s="52" t="s">
        <v>32</v>
      </c>
      <c r="B47" s="57" t="s">
        <v>159</v>
      </c>
      <c r="C47" s="53" t="s">
        <v>9</v>
      </c>
      <c r="D47" s="53">
        <v>2</v>
      </c>
      <c r="E47" s="59">
        <v>12000</v>
      </c>
      <c r="F47" s="61"/>
      <c r="G47" s="54">
        <f t="shared" si="3"/>
        <v>24000</v>
      </c>
      <c r="H47" s="54">
        <f t="shared" si="4"/>
        <v>0</v>
      </c>
      <c r="I47" s="54">
        <f t="shared" si="5"/>
        <v>24000</v>
      </c>
      <c r="J47" s="62"/>
      <c r="K47" s="58" t="s">
        <v>160</v>
      </c>
      <c r="L47" s="55"/>
      <c r="M47" s="55"/>
    </row>
    <row r="48" spans="1:13" s="48" customFormat="1" ht="27" customHeight="1" x14ac:dyDescent="0.25">
      <c r="A48" s="52"/>
      <c r="B48" s="57" t="s">
        <v>86</v>
      </c>
      <c r="C48" s="53" t="s">
        <v>9</v>
      </c>
      <c r="D48" s="53">
        <v>2</v>
      </c>
      <c r="E48" s="59">
        <v>250.83333333333334</v>
      </c>
      <c r="F48" s="61"/>
      <c r="G48" s="54">
        <f t="shared" si="3"/>
        <v>501.66666666666669</v>
      </c>
      <c r="H48" s="54">
        <f t="shared" si="4"/>
        <v>0</v>
      </c>
      <c r="I48" s="54">
        <f t="shared" si="5"/>
        <v>501.66666666666669</v>
      </c>
      <c r="J48" s="62"/>
      <c r="K48" s="60" t="s">
        <v>85</v>
      </c>
      <c r="L48" s="55"/>
      <c r="M48" s="55"/>
    </row>
    <row r="49" spans="1:13" s="50" customFormat="1" ht="18.75" customHeight="1" x14ac:dyDescent="0.25">
      <c r="A49" s="52" t="s">
        <v>33</v>
      </c>
      <c r="B49" s="56" t="s">
        <v>161</v>
      </c>
      <c r="C49" s="53" t="s">
        <v>7</v>
      </c>
      <c r="D49" s="53">
        <v>3.6</v>
      </c>
      <c r="E49" s="59"/>
      <c r="F49" s="61">
        <v>380</v>
      </c>
      <c r="G49" s="54">
        <f t="shared" si="3"/>
        <v>0</v>
      </c>
      <c r="H49" s="54">
        <f t="shared" si="4"/>
        <v>1368</v>
      </c>
      <c r="I49" s="54">
        <f t="shared" si="5"/>
        <v>1368</v>
      </c>
      <c r="J49" s="62"/>
      <c r="K49" s="58"/>
      <c r="L49" s="55"/>
      <c r="M49" s="55"/>
    </row>
    <row r="50" spans="1:13" s="50" customFormat="1" ht="25.5" customHeight="1" x14ac:dyDescent="0.25">
      <c r="A50" s="52" t="s">
        <v>35</v>
      </c>
      <c r="B50" s="57" t="s">
        <v>162</v>
      </c>
      <c r="C50" s="53" t="s">
        <v>9</v>
      </c>
      <c r="D50" s="53">
        <v>3</v>
      </c>
      <c r="E50" s="59">
        <v>450</v>
      </c>
      <c r="F50" s="61"/>
      <c r="G50" s="54">
        <f t="shared" si="3"/>
        <v>1350</v>
      </c>
      <c r="H50" s="54">
        <f t="shared" si="4"/>
        <v>0</v>
      </c>
      <c r="I50" s="54">
        <f t="shared" si="5"/>
        <v>1350</v>
      </c>
      <c r="J50" s="62"/>
      <c r="K50" s="58" t="s">
        <v>165</v>
      </c>
      <c r="L50" s="55"/>
      <c r="M50" s="55"/>
    </row>
    <row r="51" spans="1:13" s="50" customFormat="1" ht="24" customHeight="1" x14ac:dyDescent="0.25">
      <c r="A51" s="52"/>
      <c r="B51" s="57" t="s">
        <v>163</v>
      </c>
      <c r="C51" s="53" t="s">
        <v>9</v>
      </c>
      <c r="D51" s="53">
        <v>6</v>
      </c>
      <c r="E51" s="59">
        <f>15/1.2</f>
        <v>12.5</v>
      </c>
      <c r="F51" s="61"/>
      <c r="G51" s="54">
        <f t="shared" si="3"/>
        <v>75</v>
      </c>
      <c r="H51" s="54">
        <f t="shared" si="4"/>
        <v>0</v>
      </c>
      <c r="I51" s="54">
        <f t="shared" si="5"/>
        <v>75</v>
      </c>
      <c r="J51" s="62"/>
      <c r="K51" s="58"/>
      <c r="L51" s="55"/>
      <c r="M51" s="55"/>
    </row>
    <row r="52" spans="1:13" s="48" customFormat="1" ht="18.75" customHeight="1" x14ac:dyDescent="0.25">
      <c r="A52" s="52"/>
      <c r="B52" s="57" t="s">
        <v>86</v>
      </c>
      <c r="C52" s="53" t="s">
        <v>9</v>
      </c>
      <c r="D52" s="53">
        <v>1</v>
      </c>
      <c r="E52" s="59">
        <v>250.83333333333334</v>
      </c>
      <c r="F52" s="61"/>
      <c r="G52" s="54">
        <f t="shared" si="3"/>
        <v>250.83333333333334</v>
      </c>
      <c r="H52" s="54">
        <f t="shared" si="4"/>
        <v>0</v>
      </c>
      <c r="I52" s="54">
        <f t="shared" si="5"/>
        <v>250.83333333333334</v>
      </c>
      <c r="J52" s="62"/>
      <c r="K52" s="60" t="s">
        <v>85</v>
      </c>
      <c r="L52" s="55"/>
      <c r="M52" s="55"/>
    </row>
    <row r="53" spans="1:13" s="50" customFormat="1" ht="24" customHeight="1" x14ac:dyDescent="0.25">
      <c r="A53" s="52" t="s">
        <v>36</v>
      </c>
      <c r="B53" s="56" t="s">
        <v>164</v>
      </c>
      <c r="C53" s="53" t="s">
        <v>7</v>
      </c>
      <c r="D53" s="53">
        <v>3.6</v>
      </c>
      <c r="E53" s="59"/>
      <c r="F53" s="61">
        <v>380</v>
      </c>
      <c r="G53" s="54">
        <f t="shared" si="3"/>
        <v>0</v>
      </c>
      <c r="H53" s="54">
        <f t="shared" si="4"/>
        <v>1368</v>
      </c>
      <c r="I53" s="54">
        <f t="shared" si="5"/>
        <v>1368</v>
      </c>
      <c r="J53" s="62"/>
      <c r="K53" s="58"/>
      <c r="L53" s="55"/>
      <c r="M53" s="55"/>
    </row>
    <row r="54" spans="1:13" s="50" customFormat="1" ht="21.75" customHeight="1" x14ac:dyDescent="0.25">
      <c r="A54" s="52" t="s">
        <v>72</v>
      </c>
      <c r="B54" s="57" t="s">
        <v>168</v>
      </c>
      <c r="C54" s="53" t="s">
        <v>9</v>
      </c>
      <c r="D54" s="53">
        <v>3</v>
      </c>
      <c r="E54" s="59">
        <f>200/1.2</f>
        <v>166.66666666666669</v>
      </c>
      <c r="F54" s="61"/>
      <c r="G54" s="54">
        <f t="shared" si="3"/>
        <v>500.00000000000006</v>
      </c>
      <c r="H54" s="54">
        <f t="shared" si="4"/>
        <v>0</v>
      </c>
      <c r="I54" s="54">
        <f t="shared" si="5"/>
        <v>500.00000000000006</v>
      </c>
      <c r="J54" s="62"/>
      <c r="K54" s="58" t="s">
        <v>166</v>
      </c>
      <c r="L54" s="55"/>
      <c r="M54" s="55"/>
    </row>
    <row r="55" spans="1:13" s="50" customFormat="1" ht="21.75" customHeight="1" x14ac:dyDescent="0.25">
      <c r="A55" s="52"/>
      <c r="B55" s="57" t="s">
        <v>167</v>
      </c>
      <c r="C55" s="53" t="s">
        <v>9</v>
      </c>
      <c r="D55" s="53">
        <f>D53*6</f>
        <v>21.6</v>
      </c>
      <c r="E55" s="59">
        <v>2.5</v>
      </c>
      <c r="F55" s="61"/>
      <c r="G55" s="54">
        <f t="shared" si="3"/>
        <v>54</v>
      </c>
      <c r="H55" s="54">
        <f t="shared" si="4"/>
        <v>0</v>
      </c>
      <c r="I55" s="54">
        <f t="shared" si="5"/>
        <v>54</v>
      </c>
      <c r="J55" s="62"/>
      <c r="K55" s="58"/>
      <c r="L55" s="55"/>
      <c r="M55" s="55"/>
    </row>
    <row r="56" spans="1:13" s="50" customFormat="1" ht="32.25" customHeight="1" x14ac:dyDescent="0.25">
      <c r="A56" s="52" t="s">
        <v>37</v>
      </c>
      <c r="B56" s="56" t="s">
        <v>169</v>
      </c>
      <c r="C56" s="53" t="s">
        <v>8</v>
      </c>
      <c r="D56" s="53">
        <v>3.8</v>
      </c>
      <c r="E56" s="59"/>
      <c r="F56" s="61">
        <v>380</v>
      </c>
      <c r="G56" s="54">
        <f t="shared" si="3"/>
        <v>0</v>
      </c>
      <c r="H56" s="54">
        <f t="shared" si="4"/>
        <v>1444</v>
      </c>
      <c r="I56" s="54">
        <f t="shared" si="5"/>
        <v>1444</v>
      </c>
      <c r="J56" s="62"/>
      <c r="K56" s="58"/>
      <c r="L56" s="55"/>
      <c r="M56" s="55"/>
    </row>
    <row r="57" spans="1:13" s="50" customFormat="1" ht="32.25" customHeight="1" x14ac:dyDescent="0.25">
      <c r="A57" s="52" t="s">
        <v>38</v>
      </c>
      <c r="B57" s="57" t="s">
        <v>171</v>
      </c>
      <c r="C57" s="53" t="s">
        <v>9</v>
      </c>
      <c r="D57" s="53">
        <v>9</v>
      </c>
      <c r="E57" s="59">
        <v>400</v>
      </c>
      <c r="F57" s="61"/>
      <c r="G57" s="54">
        <f t="shared" si="3"/>
        <v>3600</v>
      </c>
      <c r="H57" s="54">
        <f t="shared" si="4"/>
        <v>0</v>
      </c>
      <c r="I57" s="54">
        <f t="shared" si="5"/>
        <v>3600</v>
      </c>
      <c r="J57" s="62"/>
      <c r="K57" s="58" t="s">
        <v>170</v>
      </c>
      <c r="L57" s="55"/>
      <c r="M57" s="55"/>
    </row>
    <row r="58" spans="1:13" s="50" customFormat="1" ht="26.25" customHeight="1" x14ac:dyDescent="0.25">
      <c r="A58" s="52" t="s">
        <v>39</v>
      </c>
      <c r="B58" s="57" t="s">
        <v>173</v>
      </c>
      <c r="C58" s="53" t="s">
        <v>14</v>
      </c>
      <c r="D58" s="53">
        <v>0.5</v>
      </c>
      <c r="E58" s="59">
        <f>130/0.9/1.2</f>
        <v>120.37037037037037</v>
      </c>
      <c r="F58" s="61"/>
      <c r="G58" s="54">
        <f t="shared" si="3"/>
        <v>60.185185185185183</v>
      </c>
      <c r="H58" s="54">
        <f t="shared" si="4"/>
        <v>0</v>
      </c>
      <c r="I58" s="54">
        <f t="shared" si="5"/>
        <v>60.185185185185183</v>
      </c>
      <c r="J58" s="62"/>
      <c r="K58" s="60" t="s">
        <v>172</v>
      </c>
      <c r="L58" s="55"/>
      <c r="M58" s="55"/>
    </row>
    <row r="59" spans="1:13" s="50" customFormat="1" ht="25.5" customHeight="1" x14ac:dyDescent="0.25">
      <c r="A59" s="52" t="s">
        <v>102</v>
      </c>
      <c r="B59" s="56" t="s">
        <v>174</v>
      </c>
      <c r="C59" s="53" t="s">
        <v>7</v>
      </c>
      <c r="D59" s="53">
        <v>9.6</v>
      </c>
      <c r="E59" s="59"/>
      <c r="F59" s="61">
        <v>80</v>
      </c>
      <c r="G59" s="54">
        <f t="shared" si="3"/>
        <v>0</v>
      </c>
      <c r="H59" s="54">
        <f t="shared" si="4"/>
        <v>768</v>
      </c>
      <c r="I59" s="54">
        <f t="shared" si="5"/>
        <v>768</v>
      </c>
      <c r="J59" s="62"/>
      <c r="K59" s="58"/>
      <c r="L59" s="55"/>
      <c r="M59" s="55"/>
    </row>
    <row r="60" spans="1:13" s="50" customFormat="1" ht="32.25" customHeight="1" x14ac:dyDescent="0.25">
      <c r="A60" s="52" t="s">
        <v>178</v>
      </c>
      <c r="B60" s="57" t="s">
        <v>176</v>
      </c>
      <c r="C60" s="53" t="s">
        <v>14</v>
      </c>
      <c r="D60" s="53">
        <v>1.95</v>
      </c>
      <c r="E60" s="59">
        <f>133/1.2/0.9</f>
        <v>123.14814814814815</v>
      </c>
      <c r="F60" s="61"/>
      <c r="G60" s="54">
        <f t="shared" si="3"/>
        <v>240.13888888888889</v>
      </c>
      <c r="H60" s="54">
        <f t="shared" si="4"/>
        <v>0</v>
      </c>
      <c r="I60" s="54">
        <f t="shared" si="5"/>
        <v>240.13888888888889</v>
      </c>
      <c r="J60" s="62"/>
      <c r="K60" s="58" t="s">
        <v>175</v>
      </c>
      <c r="L60" s="55"/>
      <c r="M60" s="55"/>
    </row>
    <row r="61" spans="1:13" s="50" customFormat="1" ht="25.5" customHeight="1" x14ac:dyDescent="0.25">
      <c r="A61" s="52"/>
      <c r="B61" s="57" t="s">
        <v>177</v>
      </c>
      <c r="C61" s="53" t="s">
        <v>9</v>
      </c>
      <c r="D61" s="53">
        <v>9</v>
      </c>
      <c r="E61" s="59">
        <f>32/1.2</f>
        <v>26.666666666666668</v>
      </c>
      <c r="F61" s="61"/>
      <c r="G61" s="54">
        <f t="shared" si="3"/>
        <v>240</v>
      </c>
      <c r="H61" s="54">
        <f t="shared" si="4"/>
        <v>0</v>
      </c>
      <c r="I61" s="54">
        <f t="shared" si="5"/>
        <v>240</v>
      </c>
      <c r="J61" s="62"/>
      <c r="K61" s="58"/>
      <c r="L61" s="55"/>
      <c r="M61" s="55"/>
    </row>
    <row r="62" spans="1:13" s="50" customFormat="1" ht="44.25" customHeight="1" x14ac:dyDescent="0.25">
      <c r="A62" s="52" t="s">
        <v>179</v>
      </c>
      <c r="B62" s="56" t="s">
        <v>180</v>
      </c>
      <c r="C62" s="53" t="s">
        <v>8</v>
      </c>
      <c r="D62" s="53">
        <v>1.62</v>
      </c>
      <c r="E62" s="59"/>
      <c r="F62" s="61">
        <v>497</v>
      </c>
      <c r="G62" s="54">
        <f t="shared" si="3"/>
        <v>0</v>
      </c>
      <c r="H62" s="54">
        <f t="shared" si="4"/>
        <v>805.1400000000001</v>
      </c>
      <c r="I62" s="54">
        <f t="shared" si="5"/>
        <v>805.1400000000001</v>
      </c>
      <c r="J62" s="62"/>
      <c r="K62" s="58"/>
      <c r="L62" s="55"/>
      <c r="M62" s="55"/>
    </row>
    <row r="63" spans="1:13" s="50" customFormat="1" ht="32.25" customHeight="1" x14ac:dyDescent="0.25">
      <c r="A63" s="52"/>
      <c r="B63" s="57" t="s">
        <v>109</v>
      </c>
      <c r="C63" s="53" t="s">
        <v>14</v>
      </c>
      <c r="D63" s="53">
        <f>0.2*D62</f>
        <v>0.32400000000000007</v>
      </c>
      <c r="E63" s="59">
        <f>219/0.5/1.2</f>
        <v>365</v>
      </c>
      <c r="F63" s="61"/>
      <c r="G63" s="54">
        <f t="shared" si="3"/>
        <v>118.26000000000002</v>
      </c>
      <c r="H63" s="54">
        <f t="shared" si="4"/>
        <v>0</v>
      </c>
      <c r="I63" s="54">
        <f t="shared" si="5"/>
        <v>118.26000000000002</v>
      </c>
      <c r="J63" s="62"/>
      <c r="K63" s="58" t="s">
        <v>108</v>
      </c>
      <c r="L63" s="55"/>
      <c r="M63" s="55"/>
    </row>
    <row r="64" spans="1:13" s="50" customFormat="1" ht="28.5" customHeight="1" x14ac:dyDescent="0.25">
      <c r="A64" s="52"/>
      <c r="B64" s="57" t="s">
        <v>111</v>
      </c>
      <c r="C64" s="53" t="s">
        <v>14</v>
      </c>
      <c r="D64" s="53">
        <f>D62*0.15</f>
        <v>0.24299999999999999</v>
      </c>
      <c r="E64" s="59">
        <f>83.16</f>
        <v>83.16</v>
      </c>
      <c r="F64" s="61"/>
      <c r="G64" s="54">
        <f t="shared" si="3"/>
        <v>20.207879999999999</v>
      </c>
      <c r="H64" s="54">
        <f t="shared" si="4"/>
        <v>0</v>
      </c>
      <c r="I64" s="54">
        <f t="shared" si="5"/>
        <v>20.207879999999999</v>
      </c>
      <c r="J64" s="62"/>
      <c r="K64" s="58" t="s">
        <v>110</v>
      </c>
      <c r="L64" s="55"/>
      <c r="M64" s="55"/>
    </row>
    <row r="65" spans="1:13" s="50" customFormat="1" ht="32.25" customHeight="1" x14ac:dyDescent="0.25">
      <c r="A65" s="52" t="s">
        <v>42</v>
      </c>
      <c r="B65" s="56" t="s">
        <v>181</v>
      </c>
      <c r="C65" s="53" t="s">
        <v>8</v>
      </c>
      <c r="D65" s="53">
        <v>11.4</v>
      </c>
      <c r="E65" s="59"/>
      <c r="F65" s="61">
        <v>300</v>
      </c>
      <c r="G65" s="54">
        <f t="shared" si="3"/>
        <v>0</v>
      </c>
      <c r="H65" s="54">
        <f t="shared" si="4"/>
        <v>3420</v>
      </c>
      <c r="I65" s="54">
        <f t="shared" si="5"/>
        <v>3420</v>
      </c>
      <c r="J65" s="62"/>
      <c r="K65" s="58"/>
      <c r="L65" s="55"/>
      <c r="M65" s="55"/>
    </row>
    <row r="66" spans="1:13" s="50" customFormat="1" ht="53.25" customHeight="1" x14ac:dyDescent="0.25">
      <c r="A66" s="52" t="s">
        <v>43</v>
      </c>
      <c r="B66" s="56" t="s">
        <v>182</v>
      </c>
      <c r="C66" s="53" t="s">
        <v>9</v>
      </c>
      <c r="D66" s="53">
        <v>6</v>
      </c>
      <c r="E66" s="59"/>
      <c r="F66" s="61">
        <v>1200</v>
      </c>
      <c r="G66" s="54">
        <f t="shared" si="3"/>
        <v>0</v>
      </c>
      <c r="H66" s="54">
        <f t="shared" si="4"/>
        <v>7200</v>
      </c>
      <c r="I66" s="54">
        <f t="shared" si="5"/>
        <v>7200</v>
      </c>
      <c r="J66" s="62"/>
      <c r="K66" s="58"/>
      <c r="L66" s="55"/>
      <c r="M66" s="55"/>
    </row>
    <row r="67" spans="1:13" s="50" customFormat="1" ht="71.25" customHeight="1" x14ac:dyDescent="0.25">
      <c r="A67" s="52" t="s">
        <v>122</v>
      </c>
      <c r="B67" s="57" t="s">
        <v>184</v>
      </c>
      <c r="C67" s="53" t="s">
        <v>9</v>
      </c>
      <c r="D67" s="53">
        <v>6</v>
      </c>
      <c r="E67" s="59">
        <v>13000</v>
      </c>
      <c r="F67" s="61"/>
      <c r="G67" s="54">
        <f t="shared" si="3"/>
        <v>78000</v>
      </c>
      <c r="H67" s="54">
        <f t="shared" si="4"/>
        <v>0</v>
      </c>
      <c r="I67" s="54">
        <f t="shared" si="5"/>
        <v>78000</v>
      </c>
      <c r="J67" s="62"/>
      <c r="K67" s="58" t="s">
        <v>183</v>
      </c>
      <c r="L67" s="55"/>
      <c r="M67" s="55"/>
    </row>
    <row r="68" spans="1:13" s="50" customFormat="1" ht="15" customHeight="1" x14ac:dyDescent="0.25">
      <c r="A68" s="52" t="s">
        <v>123</v>
      </c>
      <c r="B68" s="57" t="s">
        <v>185</v>
      </c>
      <c r="C68" s="53" t="s">
        <v>9</v>
      </c>
      <c r="D68" s="53">
        <v>6</v>
      </c>
      <c r="E68" s="59">
        <v>900</v>
      </c>
      <c r="F68" s="61"/>
      <c r="G68" s="54">
        <f t="shared" ref="G68:G131" si="6">E68*D68</f>
        <v>5400</v>
      </c>
      <c r="H68" s="54">
        <f t="shared" ref="H68:H131" si="7">F68*D68</f>
        <v>0</v>
      </c>
      <c r="I68" s="54">
        <f t="shared" ref="I68:I131" si="8">G68+H68</f>
        <v>5400</v>
      </c>
      <c r="J68" s="62"/>
      <c r="K68" s="58"/>
      <c r="L68" s="55"/>
      <c r="M68" s="55"/>
    </row>
    <row r="69" spans="1:13" s="48" customFormat="1" ht="36" x14ac:dyDescent="0.25">
      <c r="A69" s="52"/>
      <c r="B69" s="57" t="s">
        <v>86</v>
      </c>
      <c r="C69" s="53" t="s">
        <v>9</v>
      </c>
      <c r="D69" s="53">
        <v>3</v>
      </c>
      <c r="E69" s="59">
        <v>250.83333333333334</v>
      </c>
      <c r="F69" s="61"/>
      <c r="G69" s="54">
        <f t="shared" si="6"/>
        <v>752.5</v>
      </c>
      <c r="H69" s="54">
        <f t="shared" si="7"/>
        <v>0</v>
      </c>
      <c r="I69" s="54">
        <f t="shared" si="8"/>
        <v>752.5</v>
      </c>
      <c r="J69" s="62"/>
      <c r="K69" s="60" t="s">
        <v>85</v>
      </c>
      <c r="L69" s="55"/>
      <c r="M69" s="55"/>
    </row>
    <row r="70" spans="1:13" s="50" customFormat="1" ht="42.75" customHeight="1" x14ac:dyDescent="0.25">
      <c r="A70" s="52" t="s">
        <v>124</v>
      </c>
      <c r="B70" s="56" t="s">
        <v>64</v>
      </c>
      <c r="C70" s="53" t="s">
        <v>9</v>
      </c>
      <c r="D70" s="53">
        <v>9</v>
      </c>
      <c r="E70" s="59"/>
      <c r="F70" s="61">
        <f>666.9/2</f>
        <v>333.45</v>
      </c>
      <c r="G70" s="54">
        <f t="shared" si="6"/>
        <v>0</v>
      </c>
      <c r="H70" s="54">
        <f t="shared" si="7"/>
        <v>3001.0499999999997</v>
      </c>
      <c r="I70" s="54">
        <f t="shared" si="8"/>
        <v>3001.0499999999997</v>
      </c>
      <c r="J70" s="62"/>
      <c r="K70" s="58"/>
      <c r="L70" s="55"/>
      <c r="M70" s="55"/>
    </row>
    <row r="71" spans="1:13" s="50" customFormat="1" ht="18.75" customHeight="1" x14ac:dyDescent="0.25">
      <c r="A71" s="52" t="s">
        <v>125</v>
      </c>
      <c r="B71" s="56" t="s">
        <v>186</v>
      </c>
      <c r="C71" s="53" t="s">
        <v>9</v>
      </c>
      <c r="D71" s="53">
        <v>24</v>
      </c>
      <c r="E71" s="59"/>
      <c r="F71" s="61">
        <v>350</v>
      </c>
      <c r="G71" s="54">
        <f t="shared" si="6"/>
        <v>0</v>
      </c>
      <c r="H71" s="54">
        <f t="shared" si="7"/>
        <v>8400</v>
      </c>
      <c r="I71" s="54">
        <f t="shared" si="8"/>
        <v>8400</v>
      </c>
      <c r="J71" s="62"/>
      <c r="K71" s="58"/>
      <c r="L71" s="55"/>
      <c r="M71" s="55"/>
    </row>
    <row r="72" spans="1:13" s="50" customFormat="1" ht="67.5" customHeight="1" x14ac:dyDescent="0.25">
      <c r="A72" s="52" t="s">
        <v>47</v>
      </c>
      <c r="B72" s="57" t="s">
        <v>187</v>
      </c>
      <c r="C72" s="53" t="s">
        <v>9</v>
      </c>
      <c r="D72" s="53">
        <v>24</v>
      </c>
      <c r="E72" s="59">
        <v>1800</v>
      </c>
      <c r="F72" s="61"/>
      <c r="G72" s="54">
        <f t="shared" si="6"/>
        <v>43200</v>
      </c>
      <c r="H72" s="54">
        <f t="shared" si="7"/>
        <v>0</v>
      </c>
      <c r="I72" s="54">
        <f t="shared" si="8"/>
        <v>43200</v>
      </c>
      <c r="J72" s="62"/>
      <c r="K72" s="58" t="s">
        <v>188</v>
      </c>
      <c r="L72" s="55"/>
      <c r="M72" s="55"/>
    </row>
    <row r="73" spans="1:13" s="50" customFormat="1" ht="26.25" customHeight="1" x14ac:dyDescent="0.25">
      <c r="A73" s="52" t="s">
        <v>48</v>
      </c>
      <c r="B73" s="56" t="s">
        <v>189</v>
      </c>
      <c r="C73" s="53" t="s">
        <v>7</v>
      </c>
      <c r="D73" s="53">
        <v>350</v>
      </c>
      <c r="E73" s="59"/>
      <c r="F73" s="61">
        <v>50</v>
      </c>
      <c r="G73" s="54">
        <f t="shared" si="6"/>
        <v>0</v>
      </c>
      <c r="H73" s="54">
        <f t="shared" si="7"/>
        <v>17500</v>
      </c>
      <c r="I73" s="54">
        <f t="shared" si="8"/>
        <v>17500</v>
      </c>
      <c r="J73" s="62"/>
      <c r="K73" s="58"/>
      <c r="L73" s="55"/>
      <c r="M73" s="55"/>
    </row>
    <row r="74" spans="1:13" s="50" customFormat="1" ht="25.5" customHeight="1" x14ac:dyDescent="0.25">
      <c r="A74" s="52" t="s">
        <v>49</v>
      </c>
      <c r="B74" s="57" t="s">
        <v>190</v>
      </c>
      <c r="C74" s="53" t="s">
        <v>7</v>
      </c>
      <c r="D74" s="53">
        <v>350</v>
      </c>
      <c r="E74" s="59">
        <v>35</v>
      </c>
      <c r="F74" s="61"/>
      <c r="G74" s="54">
        <f t="shared" si="6"/>
        <v>12250</v>
      </c>
      <c r="H74" s="54">
        <f t="shared" si="7"/>
        <v>0</v>
      </c>
      <c r="I74" s="54">
        <f t="shared" si="8"/>
        <v>12250</v>
      </c>
      <c r="J74" s="62"/>
      <c r="K74" s="58" t="s">
        <v>191</v>
      </c>
      <c r="L74" s="55"/>
      <c r="M74" s="55"/>
    </row>
    <row r="75" spans="1:13" s="50" customFormat="1" ht="27" customHeight="1" x14ac:dyDescent="0.25">
      <c r="A75" s="52" t="s">
        <v>50</v>
      </c>
      <c r="B75" s="56" t="s">
        <v>192</v>
      </c>
      <c r="C75" s="53" t="s">
        <v>7</v>
      </c>
      <c r="D75" s="53">
        <v>350</v>
      </c>
      <c r="E75" s="59"/>
      <c r="F75" s="61">
        <v>45</v>
      </c>
      <c r="G75" s="54">
        <f t="shared" si="6"/>
        <v>0</v>
      </c>
      <c r="H75" s="54">
        <f t="shared" si="7"/>
        <v>15750</v>
      </c>
      <c r="I75" s="54">
        <f t="shared" si="8"/>
        <v>15750</v>
      </c>
      <c r="J75" s="62"/>
      <c r="K75" s="58"/>
      <c r="L75" s="55"/>
      <c r="M75" s="55"/>
    </row>
    <row r="76" spans="1:13" s="50" customFormat="1" ht="117" customHeight="1" x14ac:dyDescent="0.25">
      <c r="A76" s="52" t="s">
        <v>53</v>
      </c>
      <c r="B76" s="57" t="s">
        <v>52</v>
      </c>
      <c r="C76" s="53" t="s">
        <v>7</v>
      </c>
      <c r="D76" s="53">
        <v>180</v>
      </c>
      <c r="E76" s="54">
        <v>40</v>
      </c>
      <c r="F76" s="61"/>
      <c r="G76" s="54">
        <f t="shared" si="6"/>
        <v>7200</v>
      </c>
      <c r="H76" s="54">
        <f t="shared" si="7"/>
        <v>0</v>
      </c>
      <c r="I76" s="54">
        <f t="shared" si="8"/>
        <v>7200</v>
      </c>
      <c r="J76" s="62"/>
      <c r="K76" s="58" t="s">
        <v>51</v>
      </c>
      <c r="L76" s="55"/>
      <c r="M76" s="55"/>
    </row>
    <row r="77" spans="1:13" s="50" customFormat="1" ht="27" customHeight="1" x14ac:dyDescent="0.25">
      <c r="A77" s="52" t="s">
        <v>54</v>
      </c>
      <c r="B77" s="56" t="s">
        <v>193</v>
      </c>
      <c r="C77" s="53" t="s">
        <v>7</v>
      </c>
      <c r="D77" s="53">
        <v>40</v>
      </c>
      <c r="E77" s="59"/>
      <c r="F77" s="61">
        <v>54</v>
      </c>
      <c r="G77" s="54">
        <f t="shared" si="6"/>
        <v>0</v>
      </c>
      <c r="H77" s="54">
        <f t="shared" si="7"/>
        <v>2160</v>
      </c>
      <c r="I77" s="54">
        <f t="shared" si="8"/>
        <v>2160</v>
      </c>
      <c r="J77" s="62"/>
      <c r="K77" s="58"/>
      <c r="L77" s="55"/>
      <c r="M77" s="55"/>
    </row>
    <row r="78" spans="1:13" s="50" customFormat="1" ht="40.5" customHeight="1" x14ac:dyDescent="0.25">
      <c r="A78" s="52" t="s">
        <v>55</v>
      </c>
      <c r="B78" s="57" t="s">
        <v>126</v>
      </c>
      <c r="C78" s="53" t="s">
        <v>7</v>
      </c>
      <c r="D78" s="53">
        <f>D77</f>
        <v>40</v>
      </c>
      <c r="E78" s="59">
        <v>21.391666666666669</v>
      </c>
      <c r="F78" s="61"/>
      <c r="G78" s="54">
        <f t="shared" si="6"/>
        <v>855.66666666666674</v>
      </c>
      <c r="H78" s="54">
        <f t="shared" si="7"/>
        <v>0</v>
      </c>
      <c r="I78" s="54">
        <f t="shared" si="8"/>
        <v>855.66666666666674</v>
      </c>
      <c r="J78" s="62"/>
      <c r="K78" s="58" t="s">
        <v>127</v>
      </c>
      <c r="L78" s="55"/>
      <c r="M78" s="55"/>
    </row>
    <row r="79" spans="1:13" s="50" customFormat="1" ht="32.25" customHeight="1" x14ac:dyDescent="0.25">
      <c r="A79" s="52" t="s">
        <v>56</v>
      </c>
      <c r="B79" s="57" t="s">
        <v>90</v>
      </c>
      <c r="C79" s="53" t="s">
        <v>9</v>
      </c>
      <c r="D79" s="53">
        <f>D77</f>
        <v>40</v>
      </c>
      <c r="E79" s="59">
        <v>1.1333333333333335</v>
      </c>
      <c r="F79" s="61"/>
      <c r="G79" s="54">
        <f t="shared" si="6"/>
        <v>45.333333333333343</v>
      </c>
      <c r="H79" s="54">
        <f t="shared" si="7"/>
        <v>0</v>
      </c>
      <c r="I79" s="54">
        <f t="shared" si="8"/>
        <v>45.333333333333343</v>
      </c>
      <c r="J79" s="62"/>
      <c r="K79" s="60" t="s">
        <v>89</v>
      </c>
      <c r="L79" s="55"/>
      <c r="M79" s="55"/>
    </row>
    <row r="80" spans="1:13" s="50" customFormat="1" ht="19.5" customHeight="1" x14ac:dyDescent="0.25">
      <c r="A80" s="52"/>
      <c r="B80" s="57" t="s">
        <v>82</v>
      </c>
      <c r="C80" s="53" t="s">
        <v>9</v>
      </c>
      <c r="D80" s="53">
        <f>D79</f>
        <v>40</v>
      </c>
      <c r="E80" s="59">
        <v>2.5</v>
      </c>
      <c r="F80" s="61"/>
      <c r="G80" s="54">
        <f t="shared" si="6"/>
        <v>100</v>
      </c>
      <c r="H80" s="54">
        <f t="shared" si="7"/>
        <v>0</v>
      </c>
      <c r="I80" s="54">
        <f t="shared" si="8"/>
        <v>100</v>
      </c>
      <c r="J80" s="62"/>
      <c r="K80" s="60"/>
      <c r="L80" s="55"/>
      <c r="M80" s="55"/>
    </row>
    <row r="81" spans="1:13" s="50" customFormat="1" ht="102.75" customHeight="1" x14ac:dyDescent="0.25">
      <c r="A81" s="52" t="s">
        <v>57</v>
      </c>
      <c r="B81" s="57" t="s">
        <v>91</v>
      </c>
      <c r="C81" s="53" t="s">
        <v>7</v>
      </c>
      <c r="D81" s="53">
        <v>21</v>
      </c>
      <c r="E81" s="54">
        <f>50.5/1.2</f>
        <v>42.083333333333336</v>
      </c>
      <c r="F81" s="61"/>
      <c r="G81" s="54">
        <f t="shared" si="6"/>
        <v>883.75</v>
      </c>
      <c r="H81" s="54">
        <f t="shared" si="7"/>
        <v>0</v>
      </c>
      <c r="I81" s="54">
        <f t="shared" si="8"/>
        <v>883.75</v>
      </c>
      <c r="J81" s="62"/>
      <c r="K81" s="58" t="s">
        <v>92</v>
      </c>
      <c r="L81" s="55"/>
      <c r="M81" s="55"/>
    </row>
    <row r="82" spans="1:13" s="50" customFormat="1" ht="63" customHeight="1" x14ac:dyDescent="0.25">
      <c r="A82" s="52" t="s">
        <v>58</v>
      </c>
      <c r="B82" s="56" t="s">
        <v>93</v>
      </c>
      <c r="C82" s="53" t="s">
        <v>9</v>
      </c>
      <c r="D82" s="53">
        <v>11</v>
      </c>
      <c r="E82" s="59"/>
      <c r="F82" s="61">
        <v>220</v>
      </c>
      <c r="G82" s="54">
        <f t="shared" si="6"/>
        <v>0</v>
      </c>
      <c r="H82" s="54">
        <f t="shared" si="7"/>
        <v>2420</v>
      </c>
      <c r="I82" s="54">
        <f t="shared" si="8"/>
        <v>2420</v>
      </c>
      <c r="J82" s="62"/>
      <c r="K82" s="58"/>
      <c r="L82" s="55"/>
      <c r="M82" s="55"/>
    </row>
    <row r="83" spans="1:13" s="50" customFormat="1" ht="84" customHeight="1" x14ac:dyDescent="0.25">
      <c r="A83" s="52" t="s">
        <v>59</v>
      </c>
      <c r="B83" s="57" t="s">
        <v>94</v>
      </c>
      <c r="C83" s="53" t="s">
        <v>9</v>
      </c>
      <c r="D83" s="53">
        <v>11</v>
      </c>
      <c r="E83" s="59">
        <v>200</v>
      </c>
      <c r="F83" s="61"/>
      <c r="G83" s="54">
        <f t="shared" si="6"/>
        <v>2200</v>
      </c>
      <c r="H83" s="54">
        <f t="shared" si="7"/>
        <v>0</v>
      </c>
      <c r="I83" s="54">
        <f t="shared" si="8"/>
        <v>2200</v>
      </c>
      <c r="J83" s="62"/>
      <c r="K83" s="58" t="s">
        <v>96</v>
      </c>
      <c r="L83" s="55"/>
      <c r="M83" s="55"/>
    </row>
    <row r="84" spans="1:13" s="50" customFormat="1" ht="61.5" customHeight="1" x14ac:dyDescent="0.25">
      <c r="A84" s="52"/>
      <c r="B84" s="57" t="s">
        <v>95</v>
      </c>
      <c r="C84" s="53" t="s">
        <v>9</v>
      </c>
      <c r="D84" s="53">
        <v>11</v>
      </c>
      <c r="E84" s="59">
        <f>7/1.2</f>
        <v>5.8333333333333339</v>
      </c>
      <c r="F84" s="61"/>
      <c r="G84" s="54">
        <f t="shared" si="6"/>
        <v>64.166666666666671</v>
      </c>
      <c r="H84" s="54">
        <f t="shared" si="7"/>
        <v>0</v>
      </c>
      <c r="I84" s="54">
        <f t="shared" si="8"/>
        <v>64.166666666666671</v>
      </c>
      <c r="J84" s="62"/>
      <c r="K84" s="58" t="s">
        <v>97</v>
      </c>
      <c r="L84" s="55"/>
      <c r="M84" s="55"/>
    </row>
    <row r="85" spans="1:13" s="50" customFormat="1" ht="32.25" customHeight="1" x14ac:dyDescent="0.25">
      <c r="A85" s="52" t="s">
        <v>60</v>
      </c>
      <c r="B85" s="56" t="s">
        <v>194</v>
      </c>
      <c r="C85" s="53" t="s">
        <v>9</v>
      </c>
      <c r="D85" s="53">
        <v>11</v>
      </c>
      <c r="E85" s="59"/>
      <c r="F85" s="61">
        <v>220</v>
      </c>
      <c r="G85" s="54">
        <f t="shared" si="6"/>
        <v>0</v>
      </c>
      <c r="H85" s="54">
        <f t="shared" si="7"/>
        <v>2420</v>
      </c>
      <c r="I85" s="54">
        <f t="shared" si="8"/>
        <v>2420</v>
      </c>
      <c r="J85" s="62"/>
      <c r="K85" s="58"/>
      <c r="L85" s="55"/>
      <c r="M85" s="55"/>
    </row>
    <row r="86" spans="1:13" s="50" customFormat="1" ht="64.5" customHeight="1" x14ac:dyDescent="0.25">
      <c r="A86" s="52"/>
      <c r="B86" s="57" t="s">
        <v>128</v>
      </c>
      <c r="C86" s="53" t="s">
        <v>9</v>
      </c>
      <c r="D86" s="53">
        <v>11</v>
      </c>
      <c r="E86" s="59">
        <f>541.81/1.2</f>
        <v>451.50833333333333</v>
      </c>
      <c r="F86" s="61"/>
      <c r="G86" s="54">
        <f t="shared" si="6"/>
        <v>4966.5916666666662</v>
      </c>
      <c r="H86" s="54">
        <f t="shared" si="7"/>
        <v>0</v>
      </c>
      <c r="I86" s="54">
        <f t="shared" si="8"/>
        <v>4966.5916666666662</v>
      </c>
      <c r="J86" s="62"/>
      <c r="K86" s="58" t="s">
        <v>129</v>
      </c>
      <c r="L86" s="55"/>
      <c r="M86" s="55"/>
    </row>
    <row r="87" spans="1:13" s="50" customFormat="1" ht="61.5" customHeight="1" x14ac:dyDescent="0.25">
      <c r="A87" s="52"/>
      <c r="B87" s="57" t="s">
        <v>95</v>
      </c>
      <c r="C87" s="53" t="s">
        <v>9</v>
      </c>
      <c r="D87" s="53">
        <v>11</v>
      </c>
      <c r="E87" s="59">
        <f>7/1.2</f>
        <v>5.8333333333333339</v>
      </c>
      <c r="F87" s="61"/>
      <c r="G87" s="54">
        <f t="shared" si="6"/>
        <v>64.166666666666671</v>
      </c>
      <c r="H87" s="54">
        <f t="shared" si="7"/>
        <v>0</v>
      </c>
      <c r="I87" s="54">
        <f t="shared" si="8"/>
        <v>64.166666666666671</v>
      </c>
      <c r="J87" s="62"/>
      <c r="K87" s="58" t="s">
        <v>97</v>
      </c>
      <c r="L87" s="55"/>
      <c r="M87" s="55"/>
    </row>
    <row r="88" spans="1:13" s="50" customFormat="1" ht="26.25" customHeight="1" x14ac:dyDescent="0.25">
      <c r="A88" s="52" t="s">
        <v>61</v>
      </c>
      <c r="B88" s="56" t="s">
        <v>195</v>
      </c>
      <c r="C88" s="53" t="s">
        <v>9</v>
      </c>
      <c r="D88" s="53">
        <v>1</v>
      </c>
      <c r="E88" s="59"/>
      <c r="F88" s="61">
        <v>750</v>
      </c>
      <c r="G88" s="54">
        <f t="shared" si="6"/>
        <v>0</v>
      </c>
      <c r="H88" s="54">
        <f t="shared" si="7"/>
        <v>750</v>
      </c>
      <c r="I88" s="54">
        <f t="shared" si="8"/>
        <v>750</v>
      </c>
      <c r="J88" s="62"/>
      <c r="K88" s="58"/>
      <c r="L88" s="55"/>
      <c r="M88" s="55"/>
    </row>
    <row r="89" spans="1:13" s="50" customFormat="1" ht="32.25" customHeight="1" x14ac:dyDescent="0.25">
      <c r="A89" s="52" t="s">
        <v>62</v>
      </c>
      <c r="B89" s="57" t="s">
        <v>196</v>
      </c>
      <c r="C89" s="53" t="s">
        <v>9</v>
      </c>
      <c r="D89" s="53">
        <v>1</v>
      </c>
      <c r="E89" s="59">
        <f>429/1.2</f>
        <v>357.5</v>
      </c>
      <c r="F89" s="61"/>
      <c r="G89" s="54">
        <f t="shared" si="6"/>
        <v>357.5</v>
      </c>
      <c r="H89" s="54">
        <f t="shared" si="7"/>
        <v>0</v>
      </c>
      <c r="I89" s="54">
        <f t="shared" si="8"/>
        <v>357.5</v>
      </c>
      <c r="J89" s="62"/>
      <c r="K89" s="58" t="s">
        <v>197</v>
      </c>
      <c r="L89" s="55"/>
      <c r="M89" s="55"/>
    </row>
    <row r="90" spans="1:13" s="50" customFormat="1" ht="25.5" customHeight="1" x14ac:dyDescent="0.25">
      <c r="A90" s="52" t="s">
        <v>63</v>
      </c>
      <c r="B90" s="56" t="s">
        <v>198</v>
      </c>
      <c r="C90" s="53" t="s">
        <v>9</v>
      </c>
      <c r="D90" s="53">
        <v>10</v>
      </c>
      <c r="E90" s="59"/>
      <c r="F90" s="61">
        <v>250</v>
      </c>
      <c r="G90" s="54">
        <f t="shared" si="6"/>
        <v>0</v>
      </c>
      <c r="H90" s="54">
        <f t="shared" si="7"/>
        <v>2500</v>
      </c>
      <c r="I90" s="54">
        <f t="shared" si="8"/>
        <v>2500</v>
      </c>
      <c r="J90" s="62"/>
      <c r="K90" s="58"/>
      <c r="L90" s="55"/>
      <c r="M90" s="55"/>
    </row>
    <row r="91" spans="1:13" s="50" customFormat="1" ht="32.25" customHeight="1" x14ac:dyDescent="0.25">
      <c r="A91" s="52" t="s">
        <v>87</v>
      </c>
      <c r="B91" s="57" t="s">
        <v>199</v>
      </c>
      <c r="C91" s="53" t="s">
        <v>9</v>
      </c>
      <c r="D91" s="53">
        <v>3</v>
      </c>
      <c r="E91" s="59">
        <f>153/1.2</f>
        <v>127.5</v>
      </c>
      <c r="F91" s="61"/>
      <c r="G91" s="54">
        <f t="shared" si="6"/>
        <v>382.5</v>
      </c>
      <c r="H91" s="54">
        <f t="shared" si="7"/>
        <v>0</v>
      </c>
      <c r="I91" s="54">
        <f t="shared" si="8"/>
        <v>382.5</v>
      </c>
      <c r="J91" s="62"/>
      <c r="K91" s="58" t="s">
        <v>202</v>
      </c>
      <c r="L91" s="55"/>
      <c r="M91" s="55"/>
    </row>
    <row r="92" spans="1:13" s="50" customFormat="1" ht="32.25" customHeight="1" x14ac:dyDescent="0.25">
      <c r="A92" s="52" t="s">
        <v>88</v>
      </c>
      <c r="B92" s="57" t="s">
        <v>200</v>
      </c>
      <c r="C92" s="53" t="s">
        <v>9</v>
      </c>
      <c r="D92" s="53">
        <v>6</v>
      </c>
      <c r="E92" s="59">
        <f t="shared" ref="E92:E93" si="9">153/1.2</f>
        <v>127.5</v>
      </c>
      <c r="F92" s="61"/>
      <c r="G92" s="54">
        <f t="shared" si="6"/>
        <v>765</v>
      </c>
      <c r="H92" s="54">
        <f t="shared" si="7"/>
        <v>0</v>
      </c>
      <c r="I92" s="54">
        <f t="shared" si="8"/>
        <v>765</v>
      </c>
      <c r="J92" s="62"/>
      <c r="K92" s="58" t="s">
        <v>202</v>
      </c>
      <c r="L92" s="55"/>
      <c r="M92" s="55"/>
    </row>
    <row r="93" spans="1:13" s="50" customFormat="1" ht="32.25" customHeight="1" x14ac:dyDescent="0.25">
      <c r="A93" s="52" t="s">
        <v>65</v>
      </c>
      <c r="B93" s="57" t="s">
        <v>201</v>
      </c>
      <c r="C93" s="53" t="s">
        <v>9</v>
      </c>
      <c r="D93" s="53">
        <v>1</v>
      </c>
      <c r="E93" s="59">
        <f t="shared" si="9"/>
        <v>127.5</v>
      </c>
      <c r="F93" s="61"/>
      <c r="G93" s="54">
        <f t="shared" si="6"/>
        <v>127.5</v>
      </c>
      <c r="H93" s="54">
        <f t="shared" si="7"/>
        <v>0</v>
      </c>
      <c r="I93" s="54">
        <f t="shared" si="8"/>
        <v>127.5</v>
      </c>
      <c r="J93" s="62"/>
      <c r="K93" s="58" t="s">
        <v>202</v>
      </c>
      <c r="L93" s="55"/>
      <c r="M93" s="55"/>
    </row>
    <row r="94" spans="1:13" s="48" customFormat="1" x14ac:dyDescent="0.2">
      <c r="A94" s="35" t="s">
        <v>25</v>
      </c>
      <c r="B94" s="36" t="s">
        <v>203</v>
      </c>
      <c r="C94" s="36"/>
      <c r="D94" s="36"/>
      <c r="E94" s="37"/>
      <c r="F94" s="37"/>
      <c r="G94" s="54">
        <f t="shared" si="6"/>
        <v>0</v>
      </c>
      <c r="H94" s="54">
        <f t="shared" si="7"/>
        <v>0</v>
      </c>
      <c r="I94" s="54">
        <f t="shared" si="8"/>
        <v>0</v>
      </c>
      <c r="J94" s="39"/>
      <c r="K94" s="38"/>
      <c r="L94" s="34">
        <v>1.1000000000000001</v>
      </c>
      <c r="M94" s="48" t="s">
        <v>20</v>
      </c>
    </row>
    <row r="95" spans="1:13" s="50" customFormat="1" ht="26.25" customHeight="1" x14ac:dyDescent="0.25">
      <c r="A95" s="52" t="s">
        <v>204</v>
      </c>
      <c r="B95" s="56" t="s">
        <v>205</v>
      </c>
      <c r="C95" s="53" t="s">
        <v>8</v>
      </c>
      <c r="D95" s="53">
        <v>36.78</v>
      </c>
      <c r="E95" s="59"/>
      <c r="F95" s="61">
        <v>150</v>
      </c>
      <c r="G95" s="54">
        <f t="shared" si="6"/>
        <v>0</v>
      </c>
      <c r="H95" s="54">
        <f t="shared" si="7"/>
        <v>5517</v>
      </c>
      <c r="I95" s="54">
        <f t="shared" si="8"/>
        <v>5517</v>
      </c>
      <c r="J95" s="62"/>
      <c r="K95" s="58"/>
      <c r="L95" s="55"/>
      <c r="M95" s="55"/>
    </row>
    <row r="96" spans="1:13" s="50" customFormat="1" ht="25.5" customHeight="1" x14ac:dyDescent="0.25">
      <c r="A96" s="52" t="s">
        <v>206</v>
      </c>
      <c r="B96" s="56" t="s">
        <v>131</v>
      </c>
      <c r="C96" s="53" t="s">
        <v>8</v>
      </c>
      <c r="D96" s="53">
        <v>36.78</v>
      </c>
      <c r="E96" s="59"/>
      <c r="F96" s="61">
        <v>81.900000000000006</v>
      </c>
      <c r="G96" s="54">
        <f t="shared" si="6"/>
        <v>0</v>
      </c>
      <c r="H96" s="54">
        <f t="shared" si="7"/>
        <v>3012.2820000000002</v>
      </c>
      <c r="I96" s="54">
        <f t="shared" si="8"/>
        <v>3012.2820000000002</v>
      </c>
      <c r="J96" s="62"/>
      <c r="K96" s="58"/>
      <c r="L96" s="55"/>
      <c r="M96" s="55"/>
    </row>
    <row r="97" spans="1:13" s="50" customFormat="1" ht="72.75" customHeight="1" x14ac:dyDescent="0.25">
      <c r="A97" s="52" t="s">
        <v>207</v>
      </c>
      <c r="B97" s="56" t="s">
        <v>84</v>
      </c>
      <c r="C97" s="53" t="s">
        <v>8</v>
      </c>
      <c r="D97" s="53">
        <v>36.78</v>
      </c>
      <c r="E97" s="59"/>
      <c r="F97" s="61">
        <v>180</v>
      </c>
      <c r="G97" s="54">
        <f t="shared" si="6"/>
        <v>0</v>
      </c>
      <c r="H97" s="54">
        <f t="shared" si="7"/>
        <v>6620.4000000000005</v>
      </c>
      <c r="I97" s="54">
        <f t="shared" si="8"/>
        <v>6620.4000000000005</v>
      </c>
      <c r="J97" s="62"/>
      <c r="K97" s="58"/>
      <c r="L97" s="55"/>
      <c r="M97" s="55"/>
    </row>
    <row r="98" spans="1:13" s="50" customFormat="1" ht="32.25" customHeight="1" x14ac:dyDescent="0.25">
      <c r="A98" s="52"/>
      <c r="B98" s="57" t="s">
        <v>303</v>
      </c>
      <c r="C98" s="53" t="s">
        <v>14</v>
      </c>
      <c r="D98" s="53">
        <v>356.77</v>
      </c>
      <c r="E98" s="59">
        <v>10</v>
      </c>
      <c r="F98" s="61"/>
      <c r="G98" s="54">
        <f t="shared" si="6"/>
        <v>3567.7</v>
      </c>
      <c r="H98" s="54">
        <f t="shared" si="7"/>
        <v>0</v>
      </c>
      <c r="I98" s="54">
        <f t="shared" si="8"/>
        <v>3567.7</v>
      </c>
      <c r="J98" s="62"/>
      <c r="K98" s="58" t="s">
        <v>212</v>
      </c>
      <c r="L98" s="55"/>
      <c r="M98" s="55"/>
    </row>
    <row r="99" spans="1:13" s="50" customFormat="1" ht="24" customHeight="1" x14ac:dyDescent="0.25">
      <c r="A99" s="52" t="s">
        <v>208</v>
      </c>
      <c r="B99" s="49" t="s">
        <v>135</v>
      </c>
      <c r="C99" s="53" t="s">
        <v>14</v>
      </c>
      <c r="D99" s="53">
        <v>4.78</v>
      </c>
      <c r="E99" s="59">
        <f>88.93/1.2</f>
        <v>74.108333333333348</v>
      </c>
      <c r="F99" s="61"/>
      <c r="G99" s="54">
        <f t="shared" si="6"/>
        <v>354.23783333333341</v>
      </c>
      <c r="H99" s="54">
        <f t="shared" si="7"/>
        <v>0</v>
      </c>
      <c r="I99" s="54">
        <f t="shared" si="8"/>
        <v>354.23783333333341</v>
      </c>
      <c r="J99" s="62"/>
      <c r="K99" s="58" t="s">
        <v>134</v>
      </c>
      <c r="L99" s="55"/>
      <c r="M99" s="55"/>
    </row>
    <row r="100" spans="1:13" s="50" customFormat="1" ht="30.75" customHeight="1" x14ac:dyDescent="0.25">
      <c r="A100" s="52" t="s">
        <v>209</v>
      </c>
      <c r="B100" s="57" t="s">
        <v>304</v>
      </c>
      <c r="C100" s="53" t="s">
        <v>14</v>
      </c>
      <c r="D100" s="53">
        <v>202.29</v>
      </c>
      <c r="E100" s="59">
        <v>40</v>
      </c>
      <c r="F100" s="61"/>
      <c r="G100" s="54">
        <f t="shared" si="6"/>
        <v>8091.5999999999995</v>
      </c>
      <c r="H100" s="54">
        <f t="shared" si="7"/>
        <v>0</v>
      </c>
      <c r="I100" s="54">
        <f t="shared" si="8"/>
        <v>8091.5999999999995</v>
      </c>
      <c r="J100" s="62"/>
      <c r="K100" s="58"/>
      <c r="L100" s="55"/>
      <c r="M100" s="55"/>
    </row>
    <row r="101" spans="1:13" s="50" customFormat="1" ht="62.25" customHeight="1" x14ac:dyDescent="0.25">
      <c r="A101" s="52" t="s">
        <v>210</v>
      </c>
      <c r="B101" s="56" t="s">
        <v>136</v>
      </c>
      <c r="C101" s="53" t="s">
        <v>8</v>
      </c>
      <c r="D101" s="53">
        <v>36.78</v>
      </c>
      <c r="E101" s="59"/>
      <c r="F101" s="61">
        <v>100</v>
      </c>
      <c r="G101" s="54">
        <f t="shared" si="6"/>
        <v>0</v>
      </c>
      <c r="H101" s="54">
        <f t="shared" si="7"/>
        <v>3678</v>
      </c>
      <c r="I101" s="54">
        <f t="shared" si="8"/>
        <v>3678</v>
      </c>
      <c r="J101" s="62"/>
      <c r="K101" s="58"/>
      <c r="L101" s="55"/>
      <c r="M101" s="55"/>
    </row>
    <row r="102" spans="1:13" s="50" customFormat="1" ht="42" customHeight="1" x14ac:dyDescent="0.25">
      <c r="A102" s="52"/>
      <c r="B102" s="49" t="s">
        <v>305</v>
      </c>
      <c r="C102" s="53" t="s">
        <v>14</v>
      </c>
      <c r="D102" s="53">
        <f>D101*0.2</f>
        <v>7.3560000000000008</v>
      </c>
      <c r="E102" s="59">
        <v>250</v>
      </c>
      <c r="F102" s="61"/>
      <c r="G102" s="54">
        <f t="shared" si="6"/>
        <v>1839.0000000000002</v>
      </c>
      <c r="H102" s="54">
        <f t="shared" si="7"/>
        <v>0</v>
      </c>
      <c r="I102" s="54">
        <f t="shared" si="8"/>
        <v>1839.0000000000002</v>
      </c>
      <c r="J102" s="62"/>
      <c r="K102" s="58" t="s">
        <v>83</v>
      </c>
      <c r="L102" s="55"/>
      <c r="M102" s="55"/>
    </row>
    <row r="103" spans="1:13" s="50" customFormat="1" ht="35.25" customHeight="1" x14ac:dyDescent="0.25">
      <c r="A103" s="52"/>
      <c r="B103" s="57" t="s">
        <v>101</v>
      </c>
      <c r="C103" s="53" t="s">
        <v>34</v>
      </c>
      <c r="D103" s="53">
        <f>D101*0.1</f>
        <v>3.6780000000000004</v>
      </c>
      <c r="E103" s="59">
        <f>56.8/1.2</f>
        <v>47.333333333333336</v>
      </c>
      <c r="F103" s="61"/>
      <c r="G103" s="54">
        <f t="shared" si="6"/>
        <v>174.09200000000001</v>
      </c>
      <c r="H103" s="54">
        <f t="shared" si="7"/>
        <v>0</v>
      </c>
      <c r="I103" s="54">
        <f t="shared" si="8"/>
        <v>174.09200000000001</v>
      </c>
      <c r="J103" s="62"/>
      <c r="K103" s="58" t="s">
        <v>100</v>
      </c>
      <c r="L103" s="55"/>
      <c r="M103" s="55"/>
    </row>
    <row r="104" spans="1:13" s="50" customFormat="1" ht="32.25" customHeight="1" x14ac:dyDescent="0.25">
      <c r="A104" s="52" t="s">
        <v>211</v>
      </c>
      <c r="B104" s="56" t="s">
        <v>137</v>
      </c>
      <c r="C104" s="53" t="s">
        <v>7</v>
      </c>
      <c r="D104" s="53">
        <v>12.26</v>
      </c>
      <c r="E104" s="59"/>
      <c r="F104" s="61">
        <v>12</v>
      </c>
      <c r="G104" s="54">
        <f t="shared" si="6"/>
        <v>0</v>
      </c>
      <c r="H104" s="54">
        <f t="shared" si="7"/>
        <v>147.12</v>
      </c>
      <c r="I104" s="54">
        <f t="shared" si="8"/>
        <v>147.12</v>
      </c>
      <c r="J104" s="62"/>
      <c r="K104" s="58"/>
      <c r="L104" s="55"/>
      <c r="M104" s="55"/>
    </row>
    <row r="105" spans="1:13" s="50" customFormat="1" ht="28.5" customHeight="1" x14ac:dyDescent="0.25">
      <c r="A105" s="52" t="s">
        <v>214</v>
      </c>
      <c r="B105" s="56" t="s">
        <v>67</v>
      </c>
      <c r="C105" s="53" t="s">
        <v>8</v>
      </c>
      <c r="D105" s="53">
        <v>9.1999999999999993</v>
      </c>
      <c r="E105" s="59"/>
      <c r="F105" s="61">
        <v>34</v>
      </c>
      <c r="G105" s="54">
        <f t="shared" si="6"/>
        <v>0</v>
      </c>
      <c r="H105" s="54">
        <f t="shared" si="7"/>
        <v>312.79999999999995</v>
      </c>
      <c r="I105" s="54">
        <f t="shared" si="8"/>
        <v>312.79999999999995</v>
      </c>
      <c r="J105" s="62"/>
      <c r="K105" s="58"/>
      <c r="L105" s="55"/>
      <c r="M105" s="55"/>
    </row>
    <row r="106" spans="1:13" s="50" customFormat="1" ht="32.25" customHeight="1" x14ac:dyDescent="0.25">
      <c r="A106" s="52" t="s">
        <v>215</v>
      </c>
      <c r="B106" s="56" t="s">
        <v>138</v>
      </c>
      <c r="C106" s="53" t="s">
        <v>8</v>
      </c>
      <c r="D106" s="53">
        <v>9.1999999999999993</v>
      </c>
      <c r="E106" s="59"/>
      <c r="F106" s="61">
        <v>350</v>
      </c>
      <c r="G106" s="54">
        <f t="shared" si="6"/>
        <v>0</v>
      </c>
      <c r="H106" s="54">
        <f t="shared" si="7"/>
        <v>3219.9999999999995</v>
      </c>
      <c r="I106" s="54">
        <f t="shared" si="8"/>
        <v>3219.9999999999995</v>
      </c>
      <c r="J106" s="62"/>
      <c r="K106" s="58"/>
      <c r="L106" s="55"/>
      <c r="M106" s="55"/>
    </row>
    <row r="107" spans="1:13" s="50" customFormat="1" ht="32.25" customHeight="1" x14ac:dyDescent="0.25">
      <c r="A107" s="52"/>
      <c r="B107" s="57" t="s">
        <v>140</v>
      </c>
      <c r="C107" s="53" t="s">
        <v>8</v>
      </c>
      <c r="D107" s="53">
        <f>D106*1.1</f>
        <v>10.119999999999999</v>
      </c>
      <c r="E107" s="59">
        <v>250</v>
      </c>
      <c r="F107" s="61"/>
      <c r="G107" s="54">
        <f t="shared" si="6"/>
        <v>2530</v>
      </c>
      <c r="H107" s="54">
        <f t="shared" si="7"/>
        <v>0</v>
      </c>
      <c r="I107" s="54">
        <f t="shared" si="8"/>
        <v>2530</v>
      </c>
      <c r="J107" s="62"/>
      <c r="K107" s="58" t="s">
        <v>139</v>
      </c>
      <c r="L107" s="55"/>
      <c r="M107" s="55"/>
    </row>
    <row r="108" spans="1:13" s="50" customFormat="1" ht="15.75" customHeight="1" x14ac:dyDescent="0.25">
      <c r="A108" s="52"/>
      <c r="B108" s="57" t="s">
        <v>142</v>
      </c>
      <c r="C108" s="53" t="s">
        <v>14</v>
      </c>
      <c r="D108" s="53">
        <f>D106*0.9</f>
        <v>8.2799999999999994</v>
      </c>
      <c r="E108" s="59">
        <v>200</v>
      </c>
      <c r="F108" s="61"/>
      <c r="G108" s="54">
        <f t="shared" si="6"/>
        <v>1655.9999999999998</v>
      </c>
      <c r="H108" s="54">
        <f t="shared" si="7"/>
        <v>0</v>
      </c>
      <c r="I108" s="54">
        <f t="shared" si="8"/>
        <v>1655.9999999999998</v>
      </c>
      <c r="J108" s="62"/>
      <c r="K108" s="58" t="s">
        <v>141</v>
      </c>
      <c r="L108" s="55"/>
      <c r="M108" s="55"/>
    </row>
    <row r="109" spans="1:13" s="50" customFormat="1" ht="18.75" customHeight="1" x14ac:dyDescent="0.25">
      <c r="A109" s="52"/>
      <c r="B109" s="57" t="s">
        <v>82</v>
      </c>
      <c r="C109" s="53" t="s">
        <v>9</v>
      </c>
      <c r="D109" s="53">
        <f>D106*12</f>
        <v>110.39999999999999</v>
      </c>
      <c r="E109" s="59">
        <v>2.5</v>
      </c>
      <c r="F109" s="61"/>
      <c r="G109" s="54">
        <f t="shared" si="6"/>
        <v>276</v>
      </c>
      <c r="H109" s="54">
        <f t="shared" si="7"/>
        <v>0</v>
      </c>
      <c r="I109" s="54">
        <f t="shared" si="8"/>
        <v>276</v>
      </c>
      <c r="J109" s="62"/>
      <c r="K109" s="58"/>
      <c r="L109" s="55"/>
      <c r="M109" s="55"/>
    </row>
    <row r="110" spans="1:13" s="50" customFormat="1" ht="32.25" customHeight="1" x14ac:dyDescent="0.25">
      <c r="A110" s="52" t="s">
        <v>216</v>
      </c>
      <c r="B110" s="56" t="s">
        <v>143</v>
      </c>
      <c r="C110" s="53" t="s">
        <v>8</v>
      </c>
      <c r="D110" s="53">
        <v>9.1999999999999993</v>
      </c>
      <c r="E110" s="59"/>
      <c r="F110" s="61">
        <v>200</v>
      </c>
      <c r="G110" s="54">
        <f t="shared" si="6"/>
        <v>0</v>
      </c>
      <c r="H110" s="54">
        <f t="shared" si="7"/>
        <v>1839.9999999999998</v>
      </c>
      <c r="I110" s="54">
        <f t="shared" si="8"/>
        <v>1839.9999999999998</v>
      </c>
      <c r="J110" s="62"/>
      <c r="K110" s="58"/>
      <c r="L110" s="55"/>
      <c r="M110" s="55"/>
    </row>
    <row r="111" spans="1:13" s="50" customFormat="1" ht="32.25" customHeight="1" x14ac:dyDescent="0.25">
      <c r="A111" s="52" t="s">
        <v>217</v>
      </c>
      <c r="B111" s="57" t="s">
        <v>302</v>
      </c>
      <c r="C111" s="53" t="s">
        <v>8</v>
      </c>
      <c r="D111" s="53">
        <v>9.43</v>
      </c>
      <c r="E111" s="59">
        <f>428/1.2</f>
        <v>356.66666666666669</v>
      </c>
      <c r="F111" s="61"/>
      <c r="G111" s="54">
        <f t="shared" si="6"/>
        <v>3363.3666666666668</v>
      </c>
      <c r="H111" s="54">
        <f t="shared" si="7"/>
        <v>0</v>
      </c>
      <c r="I111" s="54">
        <f t="shared" si="8"/>
        <v>3363.3666666666668</v>
      </c>
      <c r="J111" s="62"/>
      <c r="K111" s="58" t="s">
        <v>144</v>
      </c>
      <c r="L111" s="55"/>
      <c r="M111" s="55"/>
    </row>
    <row r="112" spans="1:13" s="50" customFormat="1" ht="32.25" customHeight="1" x14ac:dyDescent="0.25">
      <c r="A112" s="52"/>
      <c r="B112" s="57" t="s">
        <v>146</v>
      </c>
      <c r="C112" s="53" t="s">
        <v>8</v>
      </c>
      <c r="D112" s="53">
        <f>D111</f>
        <v>9.43</v>
      </c>
      <c r="E112" s="59">
        <f>158/6</f>
        <v>26.333333333333332</v>
      </c>
      <c r="F112" s="61"/>
      <c r="G112" s="54">
        <f t="shared" si="6"/>
        <v>248.32333333333332</v>
      </c>
      <c r="H112" s="54">
        <f t="shared" si="7"/>
        <v>0</v>
      </c>
      <c r="I112" s="54">
        <f t="shared" si="8"/>
        <v>248.32333333333332</v>
      </c>
      <c r="J112" s="62"/>
      <c r="K112" s="58" t="s">
        <v>145</v>
      </c>
      <c r="L112" s="55"/>
      <c r="M112" s="55"/>
    </row>
    <row r="113" spans="1:13" s="50" customFormat="1" ht="25.5" customHeight="1" x14ac:dyDescent="0.25">
      <c r="A113" s="52" t="s">
        <v>218</v>
      </c>
      <c r="B113" s="56" t="s">
        <v>147</v>
      </c>
      <c r="C113" s="53" t="s">
        <v>7</v>
      </c>
      <c r="D113" s="53">
        <v>12.26</v>
      </c>
      <c r="E113" s="59"/>
      <c r="F113" s="61">
        <v>66</v>
      </c>
      <c r="G113" s="54">
        <f t="shared" si="6"/>
        <v>0</v>
      </c>
      <c r="H113" s="54">
        <f t="shared" si="7"/>
        <v>809.16</v>
      </c>
      <c r="I113" s="54">
        <f t="shared" si="8"/>
        <v>809.16</v>
      </c>
      <c r="J113" s="62"/>
      <c r="K113" s="58"/>
      <c r="L113" s="55"/>
      <c r="M113" s="55"/>
    </row>
    <row r="114" spans="1:13" s="50" customFormat="1" ht="32.25" customHeight="1" x14ac:dyDescent="0.25">
      <c r="A114" s="52"/>
      <c r="B114" s="57" t="s">
        <v>148</v>
      </c>
      <c r="C114" s="53" t="s">
        <v>7</v>
      </c>
      <c r="D114" s="53">
        <f>D113*1.1</f>
        <v>13.486000000000001</v>
      </c>
      <c r="E114" s="59">
        <f>150/2.5</f>
        <v>60</v>
      </c>
      <c r="F114" s="61"/>
      <c r="G114" s="54">
        <f t="shared" si="6"/>
        <v>809.16000000000008</v>
      </c>
      <c r="H114" s="54">
        <f t="shared" si="7"/>
        <v>0</v>
      </c>
      <c r="I114" s="54">
        <f t="shared" si="8"/>
        <v>809.16000000000008</v>
      </c>
      <c r="J114" s="62"/>
      <c r="K114" s="58" t="s">
        <v>150</v>
      </c>
      <c r="L114" s="55"/>
      <c r="M114" s="55"/>
    </row>
    <row r="115" spans="1:13" s="50" customFormat="1" ht="18.75" customHeight="1" x14ac:dyDescent="0.25">
      <c r="A115" s="52"/>
      <c r="B115" s="57" t="s">
        <v>82</v>
      </c>
      <c r="C115" s="53" t="s">
        <v>9</v>
      </c>
      <c r="D115" s="53">
        <f>D113*3</f>
        <v>36.78</v>
      </c>
      <c r="E115" s="59">
        <v>2.5</v>
      </c>
      <c r="F115" s="61"/>
      <c r="G115" s="54">
        <f t="shared" si="6"/>
        <v>91.95</v>
      </c>
      <c r="H115" s="54">
        <f t="shared" si="7"/>
        <v>0</v>
      </c>
      <c r="I115" s="54">
        <f t="shared" si="8"/>
        <v>91.95</v>
      </c>
      <c r="J115" s="62"/>
      <c r="K115" s="58"/>
      <c r="L115" s="55"/>
      <c r="M115" s="55"/>
    </row>
    <row r="116" spans="1:13" s="50" customFormat="1" ht="32.25" customHeight="1" x14ac:dyDescent="0.25">
      <c r="A116" s="52" t="s">
        <v>219</v>
      </c>
      <c r="B116" s="56" t="s">
        <v>149</v>
      </c>
      <c r="C116" s="53" t="s">
        <v>7</v>
      </c>
      <c r="D116" s="53">
        <v>1.05</v>
      </c>
      <c r="E116" s="59"/>
      <c r="F116" s="61">
        <v>66</v>
      </c>
      <c r="G116" s="54">
        <f t="shared" si="6"/>
        <v>0</v>
      </c>
      <c r="H116" s="54">
        <f t="shared" si="7"/>
        <v>69.3</v>
      </c>
      <c r="I116" s="54">
        <f t="shared" si="8"/>
        <v>69.3</v>
      </c>
      <c r="J116" s="62"/>
      <c r="K116" s="58"/>
      <c r="L116" s="55"/>
      <c r="M116" s="55"/>
    </row>
    <row r="117" spans="1:13" s="50" customFormat="1" ht="32.25" customHeight="1" x14ac:dyDescent="0.25">
      <c r="A117" s="52" t="s">
        <v>220</v>
      </c>
      <c r="B117" s="57" t="s">
        <v>152</v>
      </c>
      <c r="C117" s="53" t="s">
        <v>9</v>
      </c>
      <c r="D117" s="53">
        <v>2</v>
      </c>
      <c r="E117" s="59">
        <f>117</f>
        <v>117</v>
      </c>
      <c r="F117" s="61"/>
      <c r="G117" s="54">
        <f t="shared" si="6"/>
        <v>234</v>
      </c>
      <c r="H117" s="54">
        <f t="shared" si="7"/>
        <v>0</v>
      </c>
      <c r="I117" s="54">
        <f t="shared" si="8"/>
        <v>234</v>
      </c>
      <c r="J117" s="62"/>
      <c r="K117" s="58" t="s">
        <v>151</v>
      </c>
      <c r="L117" s="55"/>
      <c r="M117" s="55"/>
    </row>
    <row r="118" spans="1:13" s="50" customFormat="1" ht="18.75" customHeight="1" x14ac:dyDescent="0.25">
      <c r="A118" s="52"/>
      <c r="B118" s="57" t="s">
        <v>82</v>
      </c>
      <c r="C118" s="53" t="s">
        <v>9</v>
      </c>
      <c r="D118" s="53">
        <f>D116*4</f>
        <v>4.2</v>
      </c>
      <c r="E118" s="59">
        <v>2.5</v>
      </c>
      <c r="F118" s="61"/>
      <c r="G118" s="54">
        <f t="shared" si="6"/>
        <v>10.5</v>
      </c>
      <c r="H118" s="54">
        <f t="shared" si="7"/>
        <v>0</v>
      </c>
      <c r="I118" s="54">
        <f t="shared" si="8"/>
        <v>10.5</v>
      </c>
      <c r="J118" s="62"/>
      <c r="K118" s="58"/>
      <c r="L118" s="55"/>
      <c r="M118" s="55"/>
    </row>
    <row r="119" spans="1:13" s="50" customFormat="1" ht="27" customHeight="1" x14ac:dyDescent="0.25">
      <c r="A119" s="52" t="s">
        <v>221</v>
      </c>
      <c r="B119" s="56" t="s">
        <v>222</v>
      </c>
      <c r="C119" s="53" t="s">
        <v>8</v>
      </c>
      <c r="D119" s="53">
        <v>9.1999999999999993</v>
      </c>
      <c r="E119" s="59"/>
      <c r="F119" s="61">
        <v>84</v>
      </c>
      <c r="G119" s="54">
        <f t="shared" si="6"/>
        <v>0</v>
      </c>
      <c r="H119" s="54">
        <f t="shared" si="7"/>
        <v>772.8</v>
      </c>
      <c r="I119" s="54">
        <f t="shared" si="8"/>
        <v>772.8</v>
      </c>
      <c r="J119" s="62"/>
      <c r="K119" s="58"/>
      <c r="L119" s="55"/>
      <c r="M119" s="55"/>
    </row>
    <row r="120" spans="1:13" s="50" customFormat="1" ht="32.25" customHeight="1" x14ac:dyDescent="0.25">
      <c r="A120" s="52" t="s">
        <v>223</v>
      </c>
      <c r="B120" s="40" t="s">
        <v>112</v>
      </c>
      <c r="C120" s="46" t="s">
        <v>8</v>
      </c>
      <c r="D120" s="41">
        <v>9.1999999999999993</v>
      </c>
      <c r="E120" s="45"/>
      <c r="F120" s="61">
        <v>320</v>
      </c>
      <c r="G120" s="54">
        <f t="shared" si="6"/>
        <v>0</v>
      </c>
      <c r="H120" s="54">
        <f t="shared" si="7"/>
        <v>2944</v>
      </c>
      <c r="I120" s="54">
        <f t="shared" si="8"/>
        <v>2944</v>
      </c>
      <c r="J120" s="62"/>
      <c r="K120" s="58"/>
      <c r="L120" s="55"/>
      <c r="M120" s="55"/>
    </row>
    <row r="121" spans="1:13" s="50" customFormat="1" ht="32.25" customHeight="1" x14ac:dyDescent="0.25">
      <c r="A121" s="52"/>
      <c r="B121" s="47" t="s">
        <v>121</v>
      </c>
      <c r="C121" s="46" t="s">
        <v>9</v>
      </c>
      <c r="D121" s="41">
        <f>D120*2.78</f>
        <v>25.575999999999997</v>
      </c>
      <c r="E121" s="42">
        <f>1994/20/1.2</f>
        <v>83.083333333333343</v>
      </c>
      <c r="F121" s="61"/>
      <c r="G121" s="54">
        <f t="shared" si="6"/>
        <v>2124.9393333333333</v>
      </c>
      <c r="H121" s="54">
        <f t="shared" si="7"/>
        <v>0</v>
      </c>
      <c r="I121" s="54">
        <f t="shared" si="8"/>
        <v>2124.9393333333333</v>
      </c>
      <c r="J121" s="62"/>
      <c r="K121" s="58" t="s">
        <v>120</v>
      </c>
      <c r="L121" s="55"/>
      <c r="M121" s="55"/>
    </row>
    <row r="122" spans="1:13" s="50" customFormat="1" ht="17.25" customHeight="1" x14ac:dyDescent="0.25">
      <c r="A122" s="52"/>
      <c r="B122" s="47" t="s">
        <v>113</v>
      </c>
      <c r="C122" s="46" t="s">
        <v>9</v>
      </c>
      <c r="D122" s="41">
        <f>D121*0.15</f>
        <v>3.8363999999999994</v>
      </c>
      <c r="E122" s="42">
        <v>110</v>
      </c>
      <c r="F122" s="61"/>
      <c r="G122" s="54">
        <f t="shared" si="6"/>
        <v>422.00399999999991</v>
      </c>
      <c r="H122" s="54">
        <f t="shared" si="7"/>
        <v>0</v>
      </c>
      <c r="I122" s="54">
        <f t="shared" si="8"/>
        <v>422.00399999999991</v>
      </c>
      <c r="J122" s="62"/>
      <c r="K122" s="58"/>
      <c r="L122" s="55"/>
      <c r="M122" s="55"/>
    </row>
    <row r="123" spans="1:13" s="50" customFormat="1" ht="32.25" customHeight="1" x14ac:dyDescent="0.25">
      <c r="A123" s="52"/>
      <c r="B123" s="44" t="s">
        <v>114</v>
      </c>
      <c r="C123" s="46" t="s">
        <v>9</v>
      </c>
      <c r="D123" s="45">
        <f>D120*0.23</f>
        <v>2.1160000000000001</v>
      </c>
      <c r="E123" s="45">
        <v>85</v>
      </c>
      <c r="F123" s="61"/>
      <c r="G123" s="54">
        <f t="shared" si="6"/>
        <v>179.86</v>
      </c>
      <c r="H123" s="54">
        <f t="shared" si="7"/>
        <v>0</v>
      </c>
      <c r="I123" s="54">
        <f t="shared" si="8"/>
        <v>179.86</v>
      </c>
      <c r="J123" s="62"/>
      <c r="K123" s="58"/>
      <c r="L123" s="55"/>
      <c r="M123" s="55"/>
    </row>
    <row r="124" spans="1:13" s="50" customFormat="1" ht="32.25" customHeight="1" x14ac:dyDescent="0.25">
      <c r="A124" s="52"/>
      <c r="B124" s="44" t="s">
        <v>115</v>
      </c>
      <c r="C124" s="46" t="s">
        <v>9</v>
      </c>
      <c r="D124" s="45">
        <f>D120*1.4</f>
        <v>12.879999999999999</v>
      </c>
      <c r="E124" s="45">
        <v>28.333333333333336</v>
      </c>
      <c r="F124" s="61"/>
      <c r="G124" s="54">
        <f t="shared" si="6"/>
        <v>364.93333333333334</v>
      </c>
      <c r="H124" s="54">
        <f t="shared" si="7"/>
        <v>0</v>
      </c>
      <c r="I124" s="54">
        <f t="shared" si="8"/>
        <v>364.93333333333334</v>
      </c>
      <c r="J124" s="62"/>
      <c r="K124" s="58"/>
      <c r="L124" s="55"/>
      <c r="M124" s="55"/>
    </row>
    <row r="125" spans="1:13" s="50" customFormat="1" ht="32.25" customHeight="1" x14ac:dyDescent="0.25">
      <c r="A125" s="52"/>
      <c r="B125" s="44" t="s">
        <v>116</v>
      </c>
      <c r="C125" s="46" t="s">
        <v>9</v>
      </c>
      <c r="D125" s="45">
        <f>D120*1.4</f>
        <v>12.879999999999999</v>
      </c>
      <c r="E125" s="45">
        <v>14.166666666666668</v>
      </c>
      <c r="F125" s="61"/>
      <c r="G125" s="54">
        <f t="shared" si="6"/>
        <v>182.46666666666667</v>
      </c>
      <c r="H125" s="54">
        <f t="shared" si="7"/>
        <v>0</v>
      </c>
      <c r="I125" s="54">
        <f t="shared" si="8"/>
        <v>182.46666666666667</v>
      </c>
      <c r="J125" s="62"/>
      <c r="K125" s="58"/>
      <c r="L125" s="55"/>
      <c r="M125" s="55"/>
    </row>
    <row r="126" spans="1:13" s="50" customFormat="1" ht="32.25" customHeight="1" x14ac:dyDescent="0.25">
      <c r="A126" s="52"/>
      <c r="B126" s="44" t="s">
        <v>117</v>
      </c>
      <c r="C126" s="46" t="s">
        <v>9</v>
      </c>
      <c r="D126" s="45">
        <f>D120*0.5</f>
        <v>4.5999999999999996</v>
      </c>
      <c r="E126" s="45">
        <v>51.666666666666671</v>
      </c>
      <c r="F126" s="61"/>
      <c r="G126" s="54">
        <f t="shared" si="6"/>
        <v>237.66666666666666</v>
      </c>
      <c r="H126" s="54">
        <f t="shared" si="7"/>
        <v>0</v>
      </c>
      <c r="I126" s="54">
        <f t="shared" si="8"/>
        <v>237.66666666666666</v>
      </c>
      <c r="J126" s="62"/>
      <c r="K126" s="58"/>
      <c r="L126" s="55"/>
      <c r="M126" s="55"/>
    </row>
    <row r="127" spans="1:13" s="50" customFormat="1" ht="15.75" customHeight="1" x14ac:dyDescent="0.25">
      <c r="A127" s="52"/>
      <c r="B127" s="44" t="s">
        <v>118</v>
      </c>
      <c r="C127" s="46" t="s">
        <v>9</v>
      </c>
      <c r="D127" s="45">
        <f>D120*0.7</f>
        <v>6.4399999999999995</v>
      </c>
      <c r="E127" s="45">
        <v>8.3333333333333339</v>
      </c>
      <c r="F127" s="61"/>
      <c r="G127" s="54">
        <f t="shared" si="6"/>
        <v>53.666666666666664</v>
      </c>
      <c r="H127" s="54">
        <f t="shared" si="7"/>
        <v>0</v>
      </c>
      <c r="I127" s="54">
        <f t="shared" si="8"/>
        <v>53.666666666666664</v>
      </c>
      <c r="J127" s="62"/>
      <c r="K127" s="58"/>
      <c r="L127" s="55"/>
      <c r="M127" s="55"/>
    </row>
    <row r="128" spans="1:13" s="50" customFormat="1" ht="18" customHeight="1" x14ac:dyDescent="0.25">
      <c r="A128" s="52"/>
      <c r="B128" s="44" t="s">
        <v>119</v>
      </c>
      <c r="C128" s="43" t="s">
        <v>9</v>
      </c>
      <c r="D128" s="45">
        <f>D120*1.4</f>
        <v>12.879999999999999</v>
      </c>
      <c r="E128" s="45">
        <v>9.0555555555555571</v>
      </c>
      <c r="F128" s="61"/>
      <c r="G128" s="54">
        <f t="shared" si="6"/>
        <v>116.63555555555557</v>
      </c>
      <c r="H128" s="54">
        <f t="shared" si="7"/>
        <v>0</v>
      </c>
      <c r="I128" s="54">
        <f t="shared" si="8"/>
        <v>116.63555555555557</v>
      </c>
      <c r="J128" s="62"/>
      <c r="K128" s="58"/>
      <c r="L128" s="55"/>
      <c r="M128" s="55"/>
    </row>
    <row r="129" spans="1:13" s="50" customFormat="1" ht="32.25" customHeight="1" x14ac:dyDescent="0.25">
      <c r="A129" s="52" t="s">
        <v>224</v>
      </c>
      <c r="B129" s="56" t="s">
        <v>181</v>
      </c>
      <c r="C129" s="53" t="s">
        <v>8</v>
      </c>
      <c r="D129" s="53">
        <v>1.89</v>
      </c>
      <c r="E129" s="59"/>
      <c r="F129" s="61">
        <f>453/2</f>
        <v>226.5</v>
      </c>
      <c r="G129" s="54">
        <f t="shared" si="6"/>
        <v>0</v>
      </c>
      <c r="H129" s="54">
        <f t="shared" si="7"/>
        <v>428.08499999999998</v>
      </c>
      <c r="I129" s="54">
        <f t="shared" si="8"/>
        <v>428.08499999999998</v>
      </c>
      <c r="J129" s="62"/>
      <c r="K129" s="58"/>
      <c r="L129" s="55"/>
      <c r="M129" s="55"/>
    </row>
    <row r="130" spans="1:13" s="50" customFormat="1" ht="61.5" customHeight="1" x14ac:dyDescent="0.25">
      <c r="A130" s="52" t="s">
        <v>225</v>
      </c>
      <c r="B130" s="56" t="s">
        <v>182</v>
      </c>
      <c r="C130" s="53" t="s">
        <v>9</v>
      </c>
      <c r="D130" s="53">
        <v>1</v>
      </c>
      <c r="E130" s="59"/>
      <c r="F130" s="61">
        <v>1500</v>
      </c>
      <c r="G130" s="54">
        <f t="shared" si="6"/>
        <v>0</v>
      </c>
      <c r="H130" s="54">
        <f t="shared" si="7"/>
        <v>1500</v>
      </c>
      <c r="I130" s="54">
        <f t="shared" si="8"/>
        <v>1500</v>
      </c>
      <c r="J130" s="62"/>
      <c r="K130" s="58"/>
      <c r="L130" s="55"/>
      <c r="M130" s="55"/>
    </row>
    <row r="131" spans="1:13" s="50" customFormat="1" ht="66" customHeight="1" x14ac:dyDescent="0.25">
      <c r="A131" s="52" t="s">
        <v>226</v>
      </c>
      <c r="B131" s="57" t="s">
        <v>184</v>
      </c>
      <c r="C131" s="53" t="s">
        <v>9</v>
      </c>
      <c r="D131" s="53">
        <v>1</v>
      </c>
      <c r="E131" s="59">
        <v>13000</v>
      </c>
      <c r="F131" s="61"/>
      <c r="G131" s="54">
        <f t="shared" si="6"/>
        <v>13000</v>
      </c>
      <c r="H131" s="54">
        <f t="shared" si="7"/>
        <v>0</v>
      </c>
      <c r="I131" s="54">
        <f t="shared" si="8"/>
        <v>13000</v>
      </c>
      <c r="J131" s="62"/>
      <c r="K131" s="58" t="s">
        <v>183</v>
      </c>
      <c r="L131" s="55"/>
      <c r="M131" s="55"/>
    </row>
    <row r="132" spans="1:13" s="50" customFormat="1" ht="15" customHeight="1" x14ac:dyDescent="0.25">
      <c r="A132" s="52" t="s">
        <v>227</v>
      </c>
      <c r="B132" s="57" t="s">
        <v>185</v>
      </c>
      <c r="C132" s="53" t="s">
        <v>9</v>
      </c>
      <c r="D132" s="53">
        <v>1</v>
      </c>
      <c r="E132" s="59">
        <v>1000</v>
      </c>
      <c r="F132" s="61"/>
      <c r="G132" s="54">
        <f t="shared" ref="G132:G195" si="10">E132*D132</f>
        <v>1000</v>
      </c>
      <c r="H132" s="54">
        <f t="shared" ref="H132:H195" si="11">F132*D132</f>
        <v>0</v>
      </c>
      <c r="I132" s="54">
        <f t="shared" ref="I132:I195" si="12">G132+H132</f>
        <v>1000</v>
      </c>
      <c r="J132" s="62"/>
      <c r="K132" s="58"/>
      <c r="L132" s="55"/>
      <c r="M132" s="55"/>
    </row>
    <row r="133" spans="1:13" s="48" customFormat="1" ht="30" customHeight="1" x14ac:dyDescent="0.25">
      <c r="A133" s="52"/>
      <c r="B133" s="57" t="s">
        <v>86</v>
      </c>
      <c r="C133" s="53" t="s">
        <v>9</v>
      </c>
      <c r="D133" s="53">
        <v>1</v>
      </c>
      <c r="E133" s="59">
        <v>250.83333333333334</v>
      </c>
      <c r="F133" s="61"/>
      <c r="G133" s="54">
        <f t="shared" si="10"/>
        <v>250.83333333333334</v>
      </c>
      <c r="H133" s="54">
        <f t="shared" si="11"/>
        <v>0</v>
      </c>
      <c r="I133" s="54">
        <f t="shared" si="12"/>
        <v>250.83333333333334</v>
      </c>
      <c r="J133" s="62"/>
      <c r="K133" s="60" t="s">
        <v>85</v>
      </c>
      <c r="L133" s="55"/>
      <c r="M133" s="55"/>
    </row>
    <row r="134" spans="1:13" s="48" customFormat="1" x14ac:dyDescent="0.2">
      <c r="A134" s="35" t="s">
        <v>18</v>
      </c>
      <c r="B134" s="36" t="s">
        <v>228</v>
      </c>
      <c r="C134" s="36"/>
      <c r="D134" s="36"/>
      <c r="E134" s="37"/>
      <c r="F134" s="37"/>
      <c r="G134" s="54">
        <f t="shared" si="10"/>
        <v>0</v>
      </c>
      <c r="H134" s="54">
        <f t="shared" si="11"/>
        <v>0</v>
      </c>
      <c r="I134" s="54">
        <f t="shared" si="12"/>
        <v>0</v>
      </c>
      <c r="J134" s="39"/>
      <c r="K134" s="38"/>
      <c r="L134" s="34">
        <v>1.1000000000000001</v>
      </c>
      <c r="M134" s="48" t="s">
        <v>20</v>
      </c>
    </row>
    <row r="135" spans="1:13" s="50" customFormat="1" ht="32.25" customHeight="1" x14ac:dyDescent="0.25">
      <c r="A135" s="52" t="s">
        <v>229</v>
      </c>
      <c r="B135" s="56" t="s">
        <v>131</v>
      </c>
      <c r="C135" s="53" t="s">
        <v>8</v>
      </c>
      <c r="D135" s="53">
        <v>16</v>
      </c>
      <c r="E135" s="59"/>
      <c r="F135" s="61">
        <v>50</v>
      </c>
      <c r="G135" s="54">
        <f t="shared" si="10"/>
        <v>0</v>
      </c>
      <c r="H135" s="54">
        <f t="shared" si="11"/>
        <v>800</v>
      </c>
      <c r="I135" s="54">
        <f t="shared" si="12"/>
        <v>800</v>
      </c>
      <c r="J135" s="62"/>
      <c r="K135" s="58"/>
      <c r="L135" s="55"/>
      <c r="M135" s="55"/>
    </row>
    <row r="136" spans="1:13" s="50" customFormat="1" ht="25.5" customHeight="1" x14ac:dyDescent="0.25">
      <c r="A136" s="52" t="s">
        <v>230</v>
      </c>
      <c r="B136" s="56" t="s">
        <v>231</v>
      </c>
      <c r="C136" s="53" t="s">
        <v>8</v>
      </c>
      <c r="D136" s="53">
        <v>16</v>
      </c>
      <c r="E136" s="59"/>
      <c r="F136" s="61">
        <v>200</v>
      </c>
      <c r="G136" s="54">
        <f t="shared" si="10"/>
        <v>0</v>
      </c>
      <c r="H136" s="54">
        <f t="shared" si="11"/>
        <v>3200</v>
      </c>
      <c r="I136" s="54">
        <f t="shared" si="12"/>
        <v>3200</v>
      </c>
      <c r="J136" s="62"/>
      <c r="K136" s="58"/>
      <c r="L136" s="55"/>
      <c r="M136" s="55"/>
    </row>
    <row r="137" spans="1:13" s="50" customFormat="1" ht="32.25" customHeight="1" x14ac:dyDescent="0.25">
      <c r="A137" s="52"/>
      <c r="B137" s="57" t="s">
        <v>213</v>
      </c>
      <c r="C137" s="53" t="s">
        <v>14</v>
      </c>
      <c r="D137" s="53">
        <f>D136*10</f>
        <v>160</v>
      </c>
      <c r="E137" s="59">
        <f>13.8/1.2</f>
        <v>11.500000000000002</v>
      </c>
      <c r="F137" s="61"/>
      <c r="G137" s="54">
        <f t="shared" si="10"/>
        <v>1840.0000000000002</v>
      </c>
      <c r="H137" s="54">
        <f t="shared" si="11"/>
        <v>0</v>
      </c>
      <c r="I137" s="54">
        <f t="shared" si="12"/>
        <v>1840.0000000000002</v>
      </c>
      <c r="J137" s="62"/>
      <c r="K137" s="58" t="s">
        <v>212</v>
      </c>
      <c r="L137" s="55"/>
      <c r="M137" s="55"/>
    </row>
    <row r="138" spans="1:13" s="50" customFormat="1" ht="24" customHeight="1" x14ac:dyDescent="0.25">
      <c r="A138" s="52"/>
      <c r="B138" s="49" t="s">
        <v>135</v>
      </c>
      <c r="C138" s="53" t="s">
        <v>14</v>
      </c>
      <c r="D138" s="53">
        <f>D136*0.1</f>
        <v>1.6</v>
      </c>
      <c r="E138" s="59">
        <f>88.93/1.2</f>
        <v>74.108333333333348</v>
      </c>
      <c r="F138" s="61"/>
      <c r="G138" s="54">
        <f t="shared" si="10"/>
        <v>118.57333333333337</v>
      </c>
      <c r="H138" s="54">
        <f t="shared" si="11"/>
        <v>0</v>
      </c>
      <c r="I138" s="54">
        <f t="shared" si="12"/>
        <v>118.57333333333337</v>
      </c>
      <c r="J138" s="62"/>
      <c r="K138" s="58" t="s">
        <v>134</v>
      </c>
      <c r="L138" s="55"/>
      <c r="M138" s="55"/>
    </row>
    <row r="139" spans="1:13" s="50" customFormat="1" ht="38.25" customHeight="1" x14ac:dyDescent="0.25">
      <c r="A139" s="52" t="s">
        <v>232</v>
      </c>
      <c r="B139" s="56" t="s">
        <v>233</v>
      </c>
      <c r="C139" s="53" t="s">
        <v>8</v>
      </c>
      <c r="D139" s="53">
        <v>16</v>
      </c>
      <c r="E139" s="54"/>
      <c r="F139" s="61">
        <v>500</v>
      </c>
      <c r="G139" s="54">
        <f t="shared" si="10"/>
        <v>0</v>
      </c>
      <c r="H139" s="54">
        <f t="shared" si="11"/>
        <v>8000</v>
      </c>
      <c r="I139" s="54">
        <f t="shared" si="12"/>
        <v>8000</v>
      </c>
      <c r="J139" s="62"/>
      <c r="K139" s="58"/>
      <c r="L139" s="55"/>
      <c r="M139" s="55"/>
    </row>
    <row r="140" spans="1:13" s="50" customFormat="1" ht="24.75" customHeight="1" x14ac:dyDescent="0.25">
      <c r="A140" s="52"/>
      <c r="B140" s="57" t="s">
        <v>79</v>
      </c>
      <c r="C140" s="53" t="s">
        <v>14</v>
      </c>
      <c r="D140" s="53">
        <f>D139*8</f>
        <v>128</v>
      </c>
      <c r="E140" s="54">
        <v>12</v>
      </c>
      <c r="F140" s="61"/>
      <c r="G140" s="54">
        <f t="shared" si="10"/>
        <v>1536</v>
      </c>
      <c r="H140" s="54">
        <f t="shared" si="11"/>
        <v>0</v>
      </c>
      <c r="I140" s="54">
        <f t="shared" si="12"/>
        <v>1536</v>
      </c>
      <c r="J140" s="62"/>
      <c r="K140" s="58" t="s">
        <v>78</v>
      </c>
      <c r="L140" s="55"/>
      <c r="M140" s="55"/>
    </row>
    <row r="141" spans="1:13" s="50" customFormat="1" ht="27" customHeight="1" x14ac:dyDescent="0.25">
      <c r="A141" s="52"/>
      <c r="B141" s="57" t="s">
        <v>31</v>
      </c>
      <c r="C141" s="53" t="s">
        <v>14</v>
      </c>
      <c r="D141" s="53">
        <f>D139*0.5</f>
        <v>8</v>
      </c>
      <c r="E141" s="59">
        <f>142/2/1.2</f>
        <v>59.166666666666671</v>
      </c>
      <c r="F141" s="61"/>
      <c r="G141" s="54">
        <f t="shared" si="10"/>
        <v>473.33333333333337</v>
      </c>
      <c r="H141" s="54">
        <f t="shared" si="11"/>
        <v>0</v>
      </c>
      <c r="I141" s="54">
        <f t="shared" si="12"/>
        <v>473.33333333333337</v>
      </c>
      <c r="J141" s="62"/>
      <c r="K141" s="58" t="s">
        <v>30</v>
      </c>
      <c r="L141" s="55"/>
      <c r="M141" s="55"/>
    </row>
    <row r="142" spans="1:13" s="50" customFormat="1" ht="30.75" customHeight="1" x14ac:dyDescent="0.25">
      <c r="A142" s="52"/>
      <c r="B142" s="57" t="s">
        <v>106</v>
      </c>
      <c r="C142" s="53" t="s">
        <v>8</v>
      </c>
      <c r="D142" s="53">
        <v>1.8</v>
      </c>
      <c r="E142" s="59">
        <f>558/1.2</f>
        <v>465</v>
      </c>
      <c r="F142" s="61"/>
      <c r="G142" s="54">
        <f t="shared" si="10"/>
        <v>837</v>
      </c>
      <c r="H142" s="54">
        <f t="shared" si="11"/>
        <v>0</v>
      </c>
      <c r="I142" s="54">
        <f t="shared" si="12"/>
        <v>837</v>
      </c>
      <c r="J142" s="62"/>
      <c r="K142" s="58" t="s">
        <v>105</v>
      </c>
      <c r="L142" s="55"/>
      <c r="M142" s="55"/>
    </row>
    <row r="143" spans="1:13" s="50" customFormat="1" ht="32.25" customHeight="1" x14ac:dyDescent="0.25">
      <c r="A143" s="52" t="s">
        <v>234</v>
      </c>
      <c r="B143" s="56" t="s">
        <v>222</v>
      </c>
      <c r="C143" s="53" t="s">
        <v>8</v>
      </c>
      <c r="D143" s="53">
        <v>4</v>
      </c>
      <c r="E143" s="59"/>
      <c r="F143" s="61">
        <v>84</v>
      </c>
      <c r="G143" s="54">
        <f t="shared" si="10"/>
        <v>0</v>
      </c>
      <c r="H143" s="54">
        <f t="shared" si="11"/>
        <v>336</v>
      </c>
      <c r="I143" s="54">
        <f t="shared" si="12"/>
        <v>336</v>
      </c>
      <c r="J143" s="62"/>
      <c r="K143" s="58"/>
      <c r="L143" s="55"/>
      <c r="M143" s="55"/>
    </row>
    <row r="144" spans="1:13" s="50" customFormat="1" ht="32.25" customHeight="1" x14ac:dyDescent="0.25">
      <c r="A144" s="52" t="s">
        <v>235</v>
      </c>
      <c r="B144" s="56" t="s">
        <v>236</v>
      </c>
      <c r="C144" s="53" t="s">
        <v>8</v>
      </c>
      <c r="D144" s="53">
        <v>4</v>
      </c>
      <c r="E144" s="59"/>
      <c r="F144" s="61">
        <v>350</v>
      </c>
      <c r="G144" s="54">
        <f t="shared" si="10"/>
        <v>0</v>
      </c>
      <c r="H144" s="54">
        <f t="shared" si="11"/>
        <v>1400</v>
      </c>
      <c r="I144" s="54">
        <f t="shared" si="12"/>
        <v>1400</v>
      </c>
      <c r="J144" s="62"/>
      <c r="K144" s="58"/>
      <c r="L144" s="55"/>
      <c r="M144" s="55"/>
    </row>
    <row r="145" spans="1:13" s="50" customFormat="1" ht="32.25" customHeight="1" x14ac:dyDescent="0.25">
      <c r="A145" s="52" t="s">
        <v>240</v>
      </c>
      <c r="B145" s="57" t="s">
        <v>237</v>
      </c>
      <c r="C145" s="53" t="s">
        <v>7</v>
      </c>
      <c r="D145" s="53">
        <v>4</v>
      </c>
      <c r="E145" s="59">
        <v>120</v>
      </c>
      <c r="F145" s="61"/>
      <c r="G145" s="54">
        <f t="shared" si="10"/>
        <v>480</v>
      </c>
      <c r="H145" s="54">
        <f t="shared" si="11"/>
        <v>0</v>
      </c>
      <c r="I145" s="54">
        <f t="shared" si="12"/>
        <v>480</v>
      </c>
      <c r="J145" s="62"/>
      <c r="K145" s="58"/>
      <c r="L145" s="55"/>
      <c r="M145" s="55"/>
    </row>
    <row r="146" spans="1:13" s="50" customFormat="1" ht="32.25" customHeight="1" x14ac:dyDescent="0.25">
      <c r="A146" s="52"/>
      <c r="B146" s="57" t="s">
        <v>239</v>
      </c>
      <c r="C146" s="53" t="s">
        <v>9</v>
      </c>
      <c r="D146" s="53">
        <v>1</v>
      </c>
      <c r="E146" s="59">
        <f>4000/1.2</f>
        <v>3333.3333333333335</v>
      </c>
      <c r="F146" s="61"/>
      <c r="G146" s="54">
        <f t="shared" si="10"/>
        <v>3333.3333333333335</v>
      </c>
      <c r="H146" s="54">
        <f t="shared" si="11"/>
        <v>0</v>
      </c>
      <c r="I146" s="54">
        <f t="shared" si="12"/>
        <v>3333.3333333333335</v>
      </c>
      <c r="J146" s="62"/>
      <c r="K146" s="58" t="s">
        <v>238</v>
      </c>
      <c r="L146" s="55"/>
      <c r="M146" s="55"/>
    </row>
    <row r="147" spans="1:13" s="50" customFormat="1" ht="32.25" customHeight="1" x14ac:dyDescent="0.25">
      <c r="A147" s="52" t="s">
        <v>241</v>
      </c>
      <c r="B147" s="56" t="s">
        <v>242</v>
      </c>
      <c r="C147" s="53" t="s">
        <v>8</v>
      </c>
      <c r="D147" s="53">
        <v>4</v>
      </c>
      <c r="E147" s="59"/>
      <c r="F147" s="61">
        <v>232</v>
      </c>
      <c r="G147" s="54">
        <f t="shared" si="10"/>
        <v>0</v>
      </c>
      <c r="H147" s="54">
        <f t="shared" si="11"/>
        <v>928</v>
      </c>
      <c r="I147" s="54">
        <f t="shared" si="12"/>
        <v>928</v>
      </c>
      <c r="J147" s="62"/>
      <c r="K147" s="58"/>
      <c r="L147" s="55"/>
      <c r="M147" s="55"/>
    </row>
    <row r="148" spans="1:13" s="50" customFormat="1" ht="27.75" customHeight="1" x14ac:dyDescent="0.25">
      <c r="A148" s="52" t="s">
        <v>243</v>
      </c>
      <c r="B148" s="56" t="s">
        <v>244</v>
      </c>
      <c r="C148" s="53" t="s">
        <v>8</v>
      </c>
      <c r="D148" s="53">
        <v>4</v>
      </c>
      <c r="E148" s="59"/>
      <c r="F148" s="61">
        <v>400</v>
      </c>
      <c r="G148" s="54">
        <f t="shared" si="10"/>
        <v>0</v>
      </c>
      <c r="H148" s="54">
        <f t="shared" si="11"/>
        <v>1600</v>
      </c>
      <c r="I148" s="54">
        <f t="shared" si="12"/>
        <v>1600</v>
      </c>
      <c r="J148" s="62"/>
      <c r="K148" s="58"/>
      <c r="L148" s="55"/>
      <c r="M148" s="55"/>
    </row>
    <row r="149" spans="1:13" s="50" customFormat="1" ht="30.75" customHeight="1" x14ac:dyDescent="0.25">
      <c r="A149" s="52"/>
      <c r="B149" s="57" t="s">
        <v>74</v>
      </c>
      <c r="C149" s="53" t="s">
        <v>14</v>
      </c>
      <c r="D149" s="53">
        <f>D148*19*2</f>
        <v>152</v>
      </c>
      <c r="E149" s="59">
        <f>120/40/1.2</f>
        <v>2.5</v>
      </c>
      <c r="F149" s="61"/>
      <c r="G149" s="54">
        <f t="shared" si="10"/>
        <v>380</v>
      </c>
      <c r="H149" s="54">
        <f t="shared" si="11"/>
        <v>0</v>
      </c>
      <c r="I149" s="54">
        <f t="shared" si="12"/>
        <v>380</v>
      </c>
      <c r="J149" s="62"/>
      <c r="K149" s="58" t="s">
        <v>73</v>
      </c>
      <c r="L149" s="55"/>
      <c r="M149" s="55"/>
    </row>
    <row r="150" spans="1:13" s="50" customFormat="1" ht="75.75" customHeight="1" x14ac:dyDescent="0.25">
      <c r="A150" s="52" t="s">
        <v>245</v>
      </c>
      <c r="B150" s="56" t="s">
        <v>246</v>
      </c>
      <c r="C150" s="53" t="s">
        <v>8</v>
      </c>
      <c r="D150" s="53">
        <v>4</v>
      </c>
      <c r="E150" s="54"/>
      <c r="F150" s="61">
        <v>500</v>
      </c>
      <c r="G150" s="54">
        <f t="shared" si="10"/>
        <v>0</v>
      </c>
      <c r="H150" s="54">
        <f t="shared" si="11"/>
        <v>2000</v>
      </c>
      <c r="I150" s="54">
        <f t="shared" si="12"/>
        <v>2000</v>
      </c>
      <c r="J150" s="62"/>
      <c r="K150" s="58"/>
      <c r="L150" s="55"/>
      <c r="M150" s="55"/>
    </row>
    <row r="151" spans="1:13" s="50" customFormat="1" ht="28.5" customHeight="1" x14ac:dyDescent="0.25">
      <c r="A151" s="52"/>
      <c r="B151" s="57" t="s">
        <v>79</v>
      </c>
      <c r="C151" s="53" t="s">
        <v>14</v>
      </c>
      <c r="D151" s="53">
        <f>D150*8</f>
        <v>32</v>
      </c>
      <c r="E151" s="54">
        <f>426/25/1.2</f>
        <v>14.2</v>
      </c>
      <c r="F151" s="61"/>
      <c r="G151" s="54">
        <f t="shared" si="10"/>
        <v>454.4</v>
      </c>
      <c r="H151" s="54">
        <f t="shared" si="11"/>
        <v>0</v>
      </c>
      <c r="I151" s="54">
        <f t="shared" si="12"/>
        <v>454.4</v>
      </c>
      <c r="J151" s="62"/>
      <c r="K151" s="58" t="s">
        <v>78</v>
      </c>
      <c r="L151" s="55"/>
      <c r="M151" s="55"/>
    </row>
    <row r="152" spans="1:13" s="50" customFormat="1" ht="28.5" customHeight="1" x14ac:dyDescent="0.25">
      <c r="A152" s="52"/>
      <c r="B152" s="57" t="s">
        <v>31</v>
      </c>
      <c r="C152" s="53" t="s">
        <v>14</v>
      </c>
      <c r="D152" s="53">
        <f>D150*0.5</f>
        <v>2</v>
      </c>
      <c r="E152" s="59">
        <f>142/2/1.2</f>
        <v>59.166666666666671</v>
      </c>
      <c r="F152" s="61"/>
      <c r="G152" s="54">
        <f t="shared" si="10"/>
        <v>118.33333333333334</v>
      </c>
      <c r="H152" s="54">
        <f t="shared" si="11"/>
        <v>0</v>
      </c>
      <c r="I152" s="54">
        <f t="shared" si="12"/>
        <v>118.33333333333334</v>
      </c>
      <c r="J152" s="62"/>
      <c r="K152" s="58" t="s">
        <v>30</v>
      </c>
      <c r="L152" s="55"/>
      <c r="M152" s="55"/>
    </row>
    <row r="153" spans="1:13" s="50" customFormat="1" ht="35.25" customHeight="1" x14ac:dyDescent="0.25">
      <c r="A153" s="52"/>
      <c r="B153" s="57" t="s">
        <v>77</v>
      </c>
      <c r="C153" s="53" t="s">
        <v>8</v>
      </c>
      <c r="D153" s="53">
        <v>4</v>
      </c>
      <c r="E153" s="59">
        <v>980</v>
      </c>
      <c r="F153" s="61"/>
      <c r="G153" s="54">
        <f t="shared" si="10"/>
        <v>3920</v>
      </c>
      <c r="H153" s="54">
        <f t="shared" si="11"/>
        <v>0</v>
      </c>
      <c r="I153" s="54">
        <f t="shared" si="12"/>
        <v>3920</v>
      </c>
      <c r="J153" s="62"/>
      <c r="K153" s="58" t="s">
        <v>76</v>
      </c>
      <c r="L153" s="55"/>
      <c r="M153" s="55"/>
    </row>
    <row r="154" spans="1:13" s="50" customFormat="1" ht="32.25" customHeight="1" x14ac:dyDescent="0.25">
      <c r="A154" s="52" t="s">
        <v>247</v>
      </c>
      <c r="B154" s="56" t="s">
        <v>248</v>
      </c>
      <c r="C154" s="53" t="s">
        <v>9</v>
      </c>
      <c r="D154" s="53">
        <v>2</v>
      </c>
      <c r="E154" s="59"/>
      <c r="F154" s="61">
        <v>185</v>
      </c>
      <c r="G154" s="54">
        <f t="shared" si="10"/>
        <v>0</v>
      </c>
      <c r="H154" s="54">
        <f t="shared" si="11"/>
        <v>370</v>
      </c>
      <c r="I154" s="54">
        <f t="shared" si="12"/>
        <v>370</v>
      </c>
      <c r="J154" s="62"/>
      <c r="K154" s="58"/>
      <c r="L154" s="55"/>
      <c r="M154" s="55"/>
    </row>
    <row r="155" spans="1:13" s="50" customFormat="1" ht="32.25" customHeight="1" x14ac:dyDescent="0.25">
      <c r="A155" s="52" t="s">
        <v>249</v>
      </c>
      <c r="B155" s="56" t="s">
        <v>250</v>
      </c>
      <c r="C155" s="53" t="s">
        <v>9</v>
      </c>
      <c r="D155" s="53">
        <v>2</v>
      </c>
      <c r="E155" s="59"/>
      <c r="F155" s="61">
        <v>185</v>
      </c>
      <c r="G155" s="54">
        <f t="shared" si="10"/>
        <v>0</v>
      </c>
      <c r="H155" s="54">
        <f t="shared" si="11"/>
        <v>370</v>
      </c>
      <c r="I155" s="54">
        <f t="shared" si="12"/>
        <v>370</v>
      </c>
      <c r="J155" s="62"/>
      <c r="K155" s="58"/>
      <c r="L155" s="55"/>
      <c r="M155" s="55"/>
    </row>
    <row r="156" spans="1:13" s="50" customFormat="1" ht="32.25" customHeight="1" x14ac:dyDescent="0.25">
      <c r="A156" s="52" t="s">
        <v>253</v>
      </c>
      <c r="B156" s="57" t="s">
        <v>251</v>
      </c>
      <c r="C156" s="53" t="s">
        <v>9</v>
      </c>
      <c r="D156" s="53">
        <v>2</v>
      </c>
      <c r="E156" s="59">
        <f>80/1.2</f>
        <v>66.666666666666671</v>
      </c>
      <c r="F156" s="61"/>
      <c r="G156" s="54">
        <f t="shared" si="10"/>
        <v>133.33333333333334</v>
      </c>
      <c r="H156" s="54">
        <f t="shared" si="11"/>
        <v>0</v>
      </c>
      <c r="I156" s="54">
        <f t="shared" si="12"/>
        <v>133.33333333333334</v>
      </c>
      <c r="J156" s="62"/>
      <c r="K156" s="58" t="s">
        <v>252</v>
      </c>
      <c r="L156" s="55"/>
      <c r="M156" s="55"/>
    </row>
    <row r="157" spans="1:13" s="50" customFormat="1" ht="32.25" customHeight="1" x14ac:dyDescent="0.25">
      <c r="A157" s="52" t="s">
        <v>254</v>
      </c>
      <c r="B157" s="56" t="s">
        <v>255</v>
      </c>
      <c r="C157" s="53" t="s">
        <v>9</v>
      </c>
      <c r="D157" s="53">
        <v>1</v>
      </c>
      <c r="E157" s="59"/>
      <c r="F157" s="61">
        <v>800</v>
      </c>
      <c r="G157" s="54">
        <f t="shared" si="10"/>
        <v>0</v>
      </c>
      <c r="H157" s="54">
        <f t="shared" si="11"/>
        <v>800</v>
      </c>
      <c r="I157" s="54">
        <f t="shared" si="12"/>
        <v>800</v>
      </c>
      <c r="J157" s="62"/>
      <c r="K157" s="58"/>
      <c r="L157" s="55"/>
      <c r="M157" s="55"/>
    </row>
    <row r="158" spans="1:13" s="50" customFormat="1" ht="32.25" customHeight="1" x14ac:dyDescent="0.25">
      <c r="A158" s="52" t="s">
        <v>258</v>
      </c>
      <c r="B158" s="57" t="s">
        <v>256</v>
      </c>
      <c r="C158" s="53" t="s">
        <v>9</v>
      </c>
      <c r="D158" s="53">
        <v>1</v>
      </c>
      <c r="E158" s="59">
        <f>2300/1.2</f>
        <v>1916.6666666666667</v>
      </c>
      <c r="F158" s="61"/>
      <c r="G158" s="54">
        <f t="shared" si="10"/>
        <v>1916.6666666666667</v>
      </c>
      <c r="H158" s="54">
        <f t="shared" si="11"/>
        <v>0</v>
      </c>
      <c r="I158" s="54">
        <f t="shared" si="12"/>
        <v>1916.6666666666667</v>
      </c>
      <c r="J158" s="62"/>
      <c r="K158" s="58" t="s">
        <v>257</v>
      </c>
      <c r="L158" s="55"/>
      <c r="M158" s="55"/>
    </row>
    <row r="159" spans="1:13" s="50" customFormat="1" ht="42.75" customHeight="1" x14ac:dyDescent="0.25">
      <c r="A159" s="52"/>
      <c r="B159" s="56" t="s">
        <v>44</v>
      </c>
      <c r="C159" s="53" t="s">
        <v>9</v>
      </c>
      <c r="D159" s="53">
        <v>2</v>
      </c>
      <c r="E159" s="54"/>
      <c r="F159" s="61">
        <v>150</v>
      </c>
      <c r="G159" s="54">
        <f t="shared" si="10"/>
        <v>0</v>
      </c>
      <c r="H159" s="54">
        <f t="shared" si="11"/>
        <v>300</v>
      </c>
      <c r="I159" s="54">
        <f t="shared" si="12"/>
        <v>300</v>
      </c>
      <c r="J159" s="62"/>
      <c r="K159" s="58"/>
      <c r="L159" s="55"/>
      <c r="M159" s="55"/>
    </row>
    <row r="160" spans="1:13" s="50" customFormat="1" ht="30" customHeight="1" x14ac:dyDescent="0.25">
      <c r="A160" s="52"/>
      <c r="B160" s="57" t="s">
        <v>46</v>
      </c>
      <c r="C160" s="53" t="s">
        <v>9</v>
      </c>
      <c r="D160" s="53">
        <v>2</v>
      </c>
      <c r="E160" s="59">
        <v>152.5</v>
      </c>
      <c r="F160" s="61"/>
      <c r="G160" s="54">
        <f t="shared" si="10"/>
        <v>305</v>
      </c>
      <c r="H160" s="54">
        <f t="shared" si="11"/>
        <v>0</v>
      </c>
      <c r="I160" s="54">
        <f t="shared" si="12"/>
        <v>305</v>
      </c>
      <c r="J160" s="62"/>
      <c r="K160" s="58" t="s">
        <v>45</v>
      </c>
      <c r="L160" s="55"/>
      <c r="M160" s="55"/>
    </row>
    <row r="161" spans="1:13" s="50" customFormat="1" ht="32.25" customHeight="1" x14ac:dyDescent="0.25">
      <c r="A161" s="52" t="s">
        <v>259</v>
      </c>
      <c r="B161" s="56" t="s">
        <v>260</v>
      </c>
      <c r="C161" s="53" t="s">
        <v>9</v>
      </c>
      <c r="D161" s="53">
        <v>1</v>
      </c>
      <c r="E161" s="59"/>
      <c r="F161" s="61">
        <v>556</v>
      </c>
      <c r="G161" s="54">
        <f t="shared" si="10"/>
        <v>0</v>
      </c>
      <c r="H161" s="54">
        <f t="shared" si="11"/>
        <v>556</v>
      </c>
      <c r="I161" s="54">
        <f t="shared" si="12"/>
        <v>556</v>
      </c>
      <c r="J161" s="62"/>
      <c r="K161" s="58"/>
      <c r="L161" s="55"/>
      <c r="M161" s="55"/>
    </row>
    <row r="162" spans="1:13" s="50" customFormat="1" ht="32.25" customHeight="1" x14ac:dyDescent="0.25">
      <c r="A162" s="52" t="s">
        <v>263</v>
      </c>
      <c r="B162" s="57" t="s">
        <v>261</v>
      </c>
      <c r="C162" s="53" t="s">
        <v>9</v>
      </c>
      <c r="D162" s="53">
        <v>1</v>
      </c>
      <c r="E162" s="59">
        <f>1500/1.2</f>
        <v>1250</v>
      </c>
      <c r="F162" s="61"/>
      <c r="G162" s="54">
        <f t="shared" si="10"/>
        <v>1250</v>
      </c>
      <c r="H162" s="54">
        <f t="shared" si="11"/>
        <v>0</v>
      </c>
      <c r="I162" s="54">
        <f t="shared" si="12"/>
        <v>1250</v>
      </c>
      <c r="J162" s="62"/>
      <c r="K162" s="58" t="s">
        <v>262</v>
      </c>
      <c r="L162" s="55"/>
      <c r="M162" s="55"/>
    </row>
    <row r="163" spans="1:13" s="50" customFormat="1" ht="32.25" customHeight="1" x14ac:dyDescent="0.25">
      <c r="A163" s="52" t="s">
        <v>264</v>
      </c>
      <c r="B163" s="56" t="s">
        <v>266</v>
      </c>
      <c r="C163" s="53" t="s">
        <v>9</v>
      </c>
      <c r="D163" s="53">
        <v>1</v>
      </c>
      <c r="E163" s="59"/>
      <c r="F163" s="61">
        <v>185</v>
      </c>
      <c r="G163" s="54">
        <f t="shared" si="10"/>
        <v>0</v>
      </c>
      <c r="H163" s="54">
        <f t="shared" si="11"/>
        <v>185</v>
      </c>
      <c r="I163" s="54">
        <f t="shared" si="12"/>
        <v>185</v>
      </c>
      <c r="J163" s="62"/>
      <c r="K163" s="58"/>
      <c r="L163" s="55"/>
      <c r="M163" s="55"/>
    </row>
    <row r="164" spans="1:13" s="50" customFormat="1" ht="32.25" customHeight="1" x14ac:dyDescent="0.25">
      <c r="A164" s="52" t="s">
        <v>265</v>
      </c>
      <c r="B164" s="57" t="s">
        <v>267</v>
      </c>
      <c r="C164" s="53" t="s">
        <v>9</v>
      </c>
      <c r="D164" s="53">
        <v>1</v>
      </c>
      <c r="E164" s="59">
        <f>1000/1.2</f>
        <v>833.33333333333337</v>
      </c>
      <c r="F164" s="61"/>
      <c r="G164" s="54">
        <f t="shared" si="10"/>
        <v>833.33333333333337</v>
      </c>
      <c r="H164" s="54">
        <f t="shared" si="11"/>
        <v>0</v>
      </c>
      <c r="I164" s="54">
        <f t="shared" si="12"/>
        <v>833.33333333333337</v>
      </c>
      <c r="J164" s="62"/>
      <c r="K164" s="58" t="s">
        <v>268</v>
      </c>
      <c r="L164" s="55"/>
      <c r="M164" s="55"/>
    </row>
    <row r="165" spans="1:13" s="48" customFormat="1" x14ac:dyDescent="0.2">
      <c r="A165" s="35" t="s">
        <v>19</v>
      </c>
      <c r="B165" s="36" t="s">
        <v>269</v>
      </c>
      <c r="C165" s="36"/>
      <c r="D165" s="36"/>
      <c r="E165" s="37"/>
      <c r="F165" s="37"/>
      <c r="G165" s="54">
        <f t="shared" si="10"/>
        <v>0</v>
      </c>
      <c r="H165" s="54">
        <f t="shared" si="11"/>
        <v>0</v>
      </c>
      <c r="I165" s="54">
        <f t="shared" si="12"/>
        <v>0</v>
      </c>
      <c r="J165" s="39"/>
      <c r="K165" s="38"/>
      <c r="L165" s="34">
        <v>1.1000000000000001</v>
      </c>
      <c r="M165" s="48" t="s">
        <v>20</v>
      </c>
    </row>
    <row r="166" spans="1:13" s="50" customFormat="1" ht="32.25" customHeight="1" x14ac:dyDescent="0.25">
      <c r="A166" s="52" t="s">
        <v>270</v>
      </c>
      <c r="B166" s="56" t="s">
        <v>131</v>
      </c>
      <c r="C166" s="53" t="s">
        <v>8</v>
      </c>
      <c r="D166" s="53">
        <v>10</v>
      </c>
      <c r="E166" s="59"/>
      <c r="F166" s="61">
        <v>50</v>
      </c>
      <c r="G166" s="54">
        <f t="shared" si="10"/>
        <v>0</v>
      </c>
      <c r="H166" s="54">
        <f t="shared" si="11"/>
        <v>500</v>
      </c>
      <c r="I166" s="54">
        <f t="shared" si="12"/>
        <v>500</v>
      </c>
      <c r="J166" s="62"/>
      <c r="K166" s="58"/>
      <c r="L166" s="55"/>
      <c r="M166" s="55"/>
    </row>
    <row r="167" spans="1:13" s="50" customFormat="1" ht="41.25" customHeight="1" x14ac:dyDescent="0.25">
      <c r="A167" s="52" t="s">
        <v>271</v>
      </c>
      <c r="B167" s="56" t="s">
        <v>272</v>
      </c>
      <c r="C167" s="53" t="s">
        <v>8</v>
      </c>
      <c r="D167" s="53">
        <v>10</v>
      </c>
      <c r="E167" s="59"/>
      <c r="F167" s="61">
        <v>150</v>
      </c>
      <c r="G167" s="54">
        <f t="shared" si="10"/>
        <v>0</v>
      </c>
      <c r="H167" s="54">
        <f t="shared" si="11"/>
        <v>1500</v>
      </c>
      <c r="I167" s="54">
        <f t="shared" si="12"/>
        <v>1500</v>
      </c>
      <c r="J167" s="62"/>
      <c r="K167" s="58"/>
      <c r="L167" s="55"/>
      <c r="M167" s="55"/>
    </row>
    <row r="168" spans="1:13" s="50" customFormat="1" ht="39.75" customHeight="1" x14ac:dyDescent="0.25">
      <c r="A168" s="52"/>
      <c r="B168" s="49" t="s">
        <v>305</v>
      </c>
      <c r="C168" s="53" t="s">
        <v>14</v>
      </c>
      <c r="D168" s="53">
        <f>D167*0.2</f>
        <v>2</v>
      </c>
      <c r="E168" s="59">
        <v>250</v>
      </c>
      <c r="F168" s="61"/>
      <c r="G168" s="54">
        <f t="shared" si="10"/>
        <v>500</v>
      </c>
      <c r="H168" s="54">
        <f t="shared" si="11"/>
        <v>0</v>
      </c>
      <c r="I168" s="54">
        <f t="shared" si="12"/>
        <v>500</v>
      </c>
      <c r="J168" s="62"/>
      <c r="K168" s="58" t="s">
        <v>83</v>
      </c>
      <c r="L168" s="55"/>
      <c r="M168" s="55"/>
    </row>
    <row r="169" spans="1:13" s="50" customFormat="1" ht="35.25" customHeight="1" x14ac:dyDescent="0.25">
      <c r="A169" s="52"/>
      <c r="B169" s="57" t="s">
        <v>101</v>
      </c>
      <c r="C169" s="53" t="s">
        <v>34</v>
      </c>
      <c r="D169" s="53">
        <f>D167*0.1</f>
        <v>1</v>
      </c>
      <c r="E169" s="59">
        <f>56.8/1.2</f>
        <v>47.333333333333336</v>
      </c>
      <c r="F169" s="61"/>
      <c r="G169" s="54">
        <f t="shared" si="10"/>
        <v>47.333333333333336</v>
      </c>
      <c r="H169" s="54">
        <f t="shared" si="11"/>
        <v>0</v>
      </c>
      <c r="I169" s="54">
        <f t="shared" si="12"/>
        <v>47.333333333333336</v>
      </c>
      <c r="J169" s="62"/>
      <c r="K169" s="58" t="s">
        <v>100</v>
      </c>
      <c r="L169" s="55"/>
      <c r="M169" s="55"/>
    </row>
    <row r="170" spans="1:13" s="50" customFormat="1" ht="24" customHeight="1" x14ac:dyDescent="0.25">
      <c r="A170" s="52"/>
      <c r="B170" s="49" t="s">
        <v>135</v>
      </c>
      <c r="C170" s="53" t="s">
        <v>14</v>
      </c>
      <c r="D170" s="53">
        <f>D167*0.2</f>
        <v>2</v>
      </c>
      <c r="E170" s="59">
        <f>88.93/1.2</f>
        <v>74.108333333333348</v>
      </c>
      <c r="F170" s="61"/>
      <c r="G170" s="54">
        <f t="shared" si="10"/>
        <v>148.2166666666667</v>
      </c>
      <c r="H170" s="54">
        <f t="shared" si="11"/>
        <v>0</v>
      </c>
      <c r="I170" s="54">
        <f t="shared" si="12"/>
        <v>148.2166666666667</v>
      </c>
      <c r="J170" s="62"/>
      <c r="K170" s="58" t="s">
        <v>134</v>
      </c>
      <c r="L170" s="55"/>
      <c r="M170" s="55"/>
    </row>
    <row r="171" spans="1:13" s="50" customFormat="1" ht="30.75" customHeight="1" x14ac:dyDescent="0.25">
      <c r="A171" s="52"/>
      <c r="B171" s="57" t="s">
        <v>304</v>
      </c>
      <c r="C171" s="53" t="s">
        <v>14</v>
      </c>
      <c r="D171" s="53">
        <f>D167*10</f>
        <v>100</v>
      </c>
      <c r="E171" s="59">
        <v>50</v>
      </c>
      <c r="F171" s="61"/>
      <c r="G171" s="54">
        <f t="shared" si="10"/>
        <v>5000</v>
      </c>
      <c r="H171" s="54">
        <f t="shared" si="11"/>
        <v>0</v>
      </c>
      <c r="I171" s="54">
        <f t="shared" si="12"/>
        <v>5000</v>
      </c>
      <c r="J171" s="62"/>
      <c r="K171" s="58"/>
      <c r="L171" s="55"/>
      <c r="M171" s="55"/>
    </row>
    <row r="172" spans="1:13" s="50" customFormat="1" ht="32.25" customHeight="1" x14ac:dyDescent="0.25">
      <c r="A172" s="52" t="s">
        <v>273</v>
      </c>
      <c r="B172" s="56" t="s">
        <v>274</v>
      </c>
      <c r="C172" s="53" t="s">
        <v>8</v>
      </c>
      <c r="D172" s="53">
        <v>4</v>
      </c>
      <c r="E172" s="59"/>
      <c r="F172" s="61">
        <v>400</v>
      </c>
      <c r="G172" s="54">
        <f t="shared" si="10"/>
        <v>0</v>
      </c>
      <c r="H172" s="54">
        <f t="shared" si="11"/>
        <v>1600</v>
      </c>
      <c r="I172" s="54">
        <f t="shared" si="12"/>
        <v>1600</v>
      </c>
      <c r="J172" s="62"/>
      <c r="K172" s="58"/>
      <c r="L172" s="55"/>
      <c r="M172" s="55"/>
    </row>
    <row r="173" spans="1:13" s="50" customFormat="1" ht="32.25" customHeight="1" x14ac:dyDescent="0.25">
      <c r="A173" s="52"/>
      <c r="B173" s="57" t="s">
        <v>276</v>
      </c>
      <c r="C173" s="53" t="s">
        <v>14</v>
      </c>
      <c r="D173" s="53">
        <f>D172*0.2</f>
        <v>0.8</v>
      </c>
      <c r="E173" s="63">
        <f>215/1.2</f>
        <v>179.16666666666669</v>
      </c>
      <c r="F173" s="61"/>
      <c r="G173" s="54">
        <f t="shared" si="10"/>
        <v>143.33333333333334</v>
      </c>
      <c r="H173" s="54">
        <f t="shared" si="11"/>
        <v>0</v>
      </c>
      <c r="I173" s="54">
        <f t="shared" si="12"/>
        <v>143.33333333333334</v>
      </c>
      <c r="J173" s="62"/>
      <c r="K173" s="58" t="s">
        <v>275</v>
      </c>
      <c r="L173" s="55"/>
      <c r="M173" s="55"/>
    </row>
    <row r="174" spans="1:13" s="50" customFormat="1" ht="30.75" customHeight="1" x14ac:dyDescent="0.25">
      <c r="A174" s="52"/>
      <c r="B174" s="57" t="s">
        <v>74</v>
      </c>
      <c r="C174" s="53" t="s">
        <v>14</v>
      </c>
      <c r="D174" s="53">
        <f>D173*19*2</f>
        <v>30.400000000000002</v>
      </c>
      <c r="E174" s="59">
        <f>120/40/1.2</f>
        <v>2.5</v>
      </c>
      <c r="F174" s="61"/>
      <c r="G174" s="54">
        <f t="shared" si="10"/>
        <v>76</v>
      </c>
      <c r="H174" s="54">
        <f t="shared" si="11"/>
        <v>0</v>
      </c>
      <c r="I174" s="54">
        <f t="shared" si="12"/>
        <v>76</v>
      </c>
      <c r="J174" s="62"/>
      <c r="K174" s="58" t="s">
        <v>73</v>
      </c>
      <c r="L174" s="55"/>
      <c r="M174" s="55"/>
    </row>
    <row r="175" spans="1:13" s="50" customFormat="1" ht="24" customHeight="1" x14ac:dyDescent="0.25">
      <c r="A175" s="52"/>
      <c r="B175" s="49" t="s">
        <v>135</v>
      </c>
      <c r="C175" s="53" t="s">
        <v>14</v>
      </c>
      <c r="D175" s="53">
        <v>4.78</v>
      </c>
      <c r="E175" s="59">
        <f>88.93/1.2</f>
        <v>74.108333333333348</v>
      </c>
      <c r="F175" s="61"/>
      <c r="G175" s="54">
        <f t="shared" si="10"/>
        <v>354.23783333333341</v>
      </c>
      <c r="H175" s="54">
        <f t="shared" si="11"/>
        <v>0</v>
      </c>
      <c r="I175" s="54">
        <f t="shared" si="12"/>
        <v>354.23783333333341</v>
      </c>
      <c r="J175" s="62"/>
      <c r="K175" s="58" t="s">
        <v>134</v>
      </c>
      <c r="L175" s="55"/>
      <c r="M175" s="55"/>
    </row>
    <row r="176" spans="1:13" s="50" customFormat="1" ht="32.25" customHeight="1" x14ac:dyDescent="0.25">
      <c r="A176" s="52" t="s">
        <v>277</v>
      </c>
      <c r="B176" s="56" t="s">
        <v>242</v>
      </c>
      <c r="C176" s="53" t="s">
        <v>8</v>
      </c>
      <c r="D176" s="53">
        <v>3.6</v>
      </c>
      <c r="E176" s="59"/>
      <c r="F176" s="61">
        <v>232</v>
      </c>
      <c r="G176" s="54">
        <f t="shared" si="10"/>
        <v>0</v>
      </c>
      <c r="H176" s="54">
        <f t="shared" si="11"/>
        <v>835.2</v>
      </c>
      <c r="I176" s="54">
        <f t="shared" si="12"/>
        <v>835.2</v>
      </c>
      <c r="J176" s="62"/>
      <c r="K176" s="58"/>
      <c r="L176" s="55"/>
      <c r="M176" s="55"/>
    </row>
    <row r="177" spans="1:13" s="50" customFormat="1" ht="26.25" customHeight="1" x14ac:dyDescent="0.25">
      <c r="A177" s="52" t="s">
        <v>278</v>
      </c>
      <c r="B177" s="56" t="s">
        <v>244</v>
      </c>
      <c r="C177" s="53" t="s">
        <v>8</v>
      </c>
      <c r="D177" s="53">
        <v>3.6</v>
      </c>
      <c r="E177" s="59"/>
      <c r="F177" s="61">
        <v>400</v>
      </c>
      <c r="G177" s="54">
        <f t="shared" si="10"/>
        <v>0</v>
      </c>
      <c r="H177" s="54">
        <f t="shared" si="11"/>
        <v>1440</v>
      </c>
      <c r="I177" s="54">
        <f t="shared" si="12"/>
        <v>1440</v>
      </c>
      <c r="J177" s="62"/>
      <c r="K177" s="58"/>
      <c r="L177" s="55"/>
      <c r="M177" s="55"/>
    </row>
    <row r="178" spans="1:13" s="50" customFormat="1" ht="30.75" customHeight="1" x14ac:dyDescent="0.25">
      <c r="A178" s="52"/>
      <c r="B178" s="57" t="s">
        <v>74</v>
      </c>
      <c r="C178" s="53" t="s">
        <v>14</v>
      </c>
      <c r="D178" s="53">
        <f>D177*19*2</f>
        <v>136.80000000000001</v>
      </c>
      <c r="E178" s="59">
        <f>120/40/1.2</f>
        <v>2.5</v>
      </c>
      <c r="F178" s="61"/>
      <c r="G178" s="54">
        <f t="shared" si="10"/>
        <v>342</v>
      </c>
      <c r="H178" s="54">
        <f t="shared" si="11"/>
        <v>0</v>
      </c>
      <c r="I178" s="54">
        <f t="shared" si="12"/>
        <v>342</v>
      </c>
      <c r="J178" s="62"/>
      <c r="K178" s="58" t="s">
        <v>73</v>
      </c>
      <c r="L178" s="55"/>
      <c r="M178" s="55"/>
    </row>
    <row r="179" spans="1:13" s="50" customFormat="1" ht="67.5" customHeight="1" x14ac:dyDescent="0.25">
      <c r="A179" s="52" t="s">
        <v>279</v>
      </c>
      <c r="B179" s="56" t="s">
        <v>246</v>
      </c>
      <c r="C179" s="53" t="s">
        <v>8</v>
      </c>
      <c r="D179" s="53">
        <v>3.6</v>
      </c>
      <c r="E179" s="54"/>
      <c r="F179" s="61">
        <v>500</v>
      </c>
      <c r="G179" s="54">
        <f t="shared" si="10"/>
        <v>0</v>
      </c>
      <c r="H179" s="54">
        <f t="shared" si="11"/>
        <v>1800</v>
      </c>
      <c r="I179" s="54">
        <f t="shared" si="12"/>
        <v>1800</v>
      </c>
      <c r="J179" s="62"/>
      <c r="K179" s="58"/>
      <c r="L179" s="55"/>
      <c r="M179" s="55"/>
    </row>
    <row r="180" spans="1:13" s="50" customFormat="1" ht="24" customHeight="1" x14ac:dyDescent="0.25">
      <c r="A180" s="52"/>
      <c r="B180" s="57" t="s">
        <v>79</v>
      </c>
      <c r="C180" s="53" t="s">
        <v>14</v>
      </c>
      <c r="D180" s="53">
        <f>D179*8</f>
        <v>28.8</v>
      </c>
      <c r="E180" s="54">
        <f>426/25/1.2</f>
        <v>14.2</v>
      </c>
      <c r="F180" s="61"/>
      <c r="G180" s="54">
        <f t="shared" si="10"/>
        <v>408.96</v>
      </c>
      <c r="H180" s="54">
        <f t="shared" si="11"/>
        <v>0</v>
      </c>
      <c r="I180" s="54">
        <f t="shared" si="12"/>
        <v>408.96</v>
      </c>
      <c r="J180" s="62"/>
      <c r="K180" s="58" t="s">
        <v>78</v>
      </c>
      <c r="L180" s="55"/>
      <c r="M180" s="55"/>
    </row>
    <row r="181" spans="1:13" s="50" customFormat="1" ht="26.25" customHeight="1" x14ac:dyDescent="0.25">
      <c r="A181" s="52"/>
      <c r="B181" s="57" t="s">
        <v>31</v>
      </c>
      <c r="C181" s="53" t="s">
        <v>14</v>
      </c>
      <c r="D181" s="53">
        <f>D179*0.5</f>
        <v>1.8</v>
      </c>
      <c r="E181" s="59">
        <f>142/2/1.2</f>
        <v>59.166666666666671</v>
      </c>
      <c r="F181" s="61"/>
      <c r="G181" s="54">
        <f t="shared" si="10"/>
        <v>106.50000000000001</v>
      </c>
      <c r="H181" s="54">
        <f t="shared" si="11"/>
        <v>0</v>
      </c>
      <c r="I181" s="54">
        <f t="shared" si="12"/>
        <v>106.50000000000001</v>
      </c>
      <c r="J181" s="62"/>
      <c r="K181" s="58" t="s">
        <v>30</v>
      </c>
      <c r="L181" s="55"/>
      <c r="M181" s="55"/>
    </row>
    <row r="182" spans="1:13" s="50" customFormat="1" ht="35.25" customHeight="1" x14ac:dyDescent="0.25">
      <c r="A182" s="52"/>
      <c r="B182" s="57" t="s">
        <v>77</v>
      </c>
      <c r="C182" s="53" t="s">
        <v>8</v>
      </c>
      <c r="D182" s="53">
        <v>4</v>
      </c>
      <c r="E182" s="59">
        <f>1380/1.2</f>
        <v>1150</v>
      </c>
      <c r="F182" s="61"/>
      <c r="G182" s="54">
        <f t="shared" si="10"/>
        <v>4600</v>
      </c>
      <c r="H182" s="54">
        <f t="shared" si="11"/>
        <v>0</v>
      </c>
      <c r="I182" s="54">
        <f t="shared" si="12"/>
        <v>4600</v>
      </c>
      <c r="J182" s="62"/>
      <c r="K182" s="58" t="s">
        <v>76</v>
      </c>
      <c r="L182" s="55"/>
      <c r="M182" s="55"/>
    </row>
    <row r="183" spans="1:13" s="50" customFormat="1" ht="32.25" customHeight="1" x14ac:dyDescent="0.25">
      <c r="A183" s="52" t="s">
        <v>280</v>
      </c>
      <c r="B183" s="56" t="s">
        <v>281</v>
      </c>
      <c r="C183" s="53" t="s">
        <v>9</v>
      </c>
      <c r="D183" s="53">
        <v>1</v>
      </c>
      <c r="E183" s="59"/>
      <c r="F183" s="61">
        <v>453</v>
      </c>
      <c r="G183" s="54">
        <f t="shared" si="10"/>
        <v>0</v>
      </c>
      <c r="H183" s="54">
        <f t="shared" si="11"/>
        <v>453</v>
      </c>
      <c r="I183" s="54">
        <f t="shared" si="12"/>
        <v>453</v>
      </c>
      <c r="J183" s="62"/>
      <c r="K183" s="58"/>
      <c r="L183" s="55"/>
      <c r="M183" s="55"/>
    </row>
    <row r="184" spans="1:13" s="50" customFormat="1" ht="21.75" customHeight="1" x14ac:dyDescent="0.25">
      <c r="A184" s="52" t="s">
        <v>282</v>
      </c>
      <c r="B184" s="56" t="s">
        <v>283</v>
      </c>
      <c r="C184" s="53" t="s">
        <v>9</v>
      </c>
      <c r="D184" s="53">
        <v>1</v>
      </c>
      <c r="E184" s="59"/>
      <c r="F184" s="61">
        <v>1800</v>
      </c>
      <c r="G184" s="54">
        <f t="shared" si="10"/>
        <v>0</v>
      </c>
      <c r="H184" s="54">
        <f t="shared" si="11"/>
        <v>1800</v>
      </c>
      <c r="I184" s="54">
        <f t="shared" si="12"/>
        <v>1800</v>
      </c>
      <c r="J184" s="62"/>
      <c r="K184" s="58"/>
      <c r="L184" s="55"/>
      <c r="M184" s="55"/>
    </row>
    <row r="185" spans="1:13" s="50" customFormat="1" ht="57.75" customHeight="1" x14ac:dyDescent="0.25">
      <c r="A185" s="52" t="s">
        <v>286</v>
      </c>
      <c r="B185" s="57" t="s">
        <v>284</v>
      </c>
      <c r="C185" s="53" t="s">
        <v>9</v>
      </c>
      <c r="D185" s="53">
        <v>1</v>
      </c>
      <c r="E185" s="59">
        <v>11500</v>
      </c>
      <c r="F185" s="61"/>
      <c r="G185" s="54">
        <f t="shared" si="10"/>
        <v>11500</v>
      </c>
      <c r="H185" s="54">
        <f t="shared" si="11"/>
        <v>0</v>
      </c>
      <c r="I185" s="54">
        <f t="shared" si="12"/>
        <v>11500</v>
      </c>
      <c r="J185" s="62"/>
      <c r="K185" s="58" t="s">
        <v>285</v>
      </c>
      <c r="L185" s="55"/>
      <c r="M185" s="55"/>
    </row>
    <row r="186" spans="1:13" s="48" customFormat="1" ht="36" x14ac:dyDescent="0.25">
      <c r="A186" s="52"/>
      <c r="B186" s="57" t="s">
        <v>86</v>
      </c>
      <c r="C186" s="53" t="s">
        <v>9</v>
      </c>
      <c r="D186" s="53">
        <v>1</v>
      </c>
      <c r="E186" s="59">
        <v>250.83333333333334</v>
      </c>
      <c r="F186" s="61"/>
      <c r="G186" s="54">
        <f t="shared" si="10"/>
        <v>250.83333333333334</v>
      </c>
      <c r="H186" s="54">
        <f t="shared" si="11"/>
        <v>0</v>
      </c>
      <c r="I186" s="54">
        <f t="shared" si="12"/>
        <v>250.83333333333334</v>
      </c>
      <c r="J186" s="62"/>
      <c r="K186" s="60" t="s">
        <v>85</v>
      </c>
      <c r="L186" s="55"/>
      <c r="M186" s="55"/>
    </row>
    <row r="187" spans="1:13" s="50" customFormat="1" ht="32.25" customHeight="1" x14ac:dyDescent="0.25">
      <c r="A187" s="52" t="s">
        <v>287</v>
      </c>
      <c r="B187" s="56" t="s">
        <v>222</v>
      </c>
      <c r="C187" s="53" t="s">
        <v>8</v>
      </c>
      <c r="D187" s="53">
        <v>3.6</v>
      </c>
      <c r="E187" s="59"/>
      <c r="F187" s="61">
        <v>84</v>
      </c>
      <c r="G187" s="54">
        <f t="shared" si="10"/>
        <v>0</v>
      </c>
      <c r="H187" s="54">
        <f t="shared" si="11"/>
        <v>302.40000000000003</v>
      </c>
      <c r="I187" s="54">
        <f t="shared" si="12"/>
        <v>302.40000000000003</v>
      </c>
      <c r="J187" s="62"/>
      <c r="K187" s="58"/>
      <c r="L187" s="55"/>
      <c r="M187" s="55"/>
    </row>
    <row r="188" spans="1:13" s="50" customFormat="1" ht="54.75" customHeight="1" x14ac:dyDescent="0.25">
      <c r="A188" s="52" t="s">
        <v>288</v>
      </c>
      <c r="B188" s="56" t="s">
        <v>289</v>
      </c>
      <c r="C188" s="53" t="s">
        <v>8</v>
      </c>
      <c r="D188" s="53">
        <v>3.6</v>
      </c>
      <c r="E188" s="59"/>
      <c r="F188" s="61">
        <f>146.7+206.1</f>
        <v>352.79999999999995</v>
      </c>
      <c r="G188" s="54">
        <f t="shared" si="10"/>
        <v>0</v>
      </c>
      <c r="H188" s="54">
        <f t="shared" si="11"/>
        <v>1270.08</v>
      </c>
      <c r="I188" s="54">
        <f t="shared" si="12"/>
        <v>1270.08</v>
      </c>
      <c r="J188" s="62"/>
      <c r="K188" s="58"/>
      <c r="L188" s="55"/>
      <c r="M188" s="55"/>
    </row>
    <row r="189" spans="1:13" s="50" customFormat="1" ht="48" customHeight="1" x14ac:dyDescent="0.25">
      <c r="A189" s="52"/>
      <c r="B189" s="49" t="s">
        <v>305</v>
      </c>
      <c r="C189" s="53" t="s">
        <v>14</v>
      </c>
      <c r="D189" s="53">
        <f>D188*0.2</f>
        <v>0.72000000000000008</v>
      </c>
      <c r="E189" s="59">
        <v>250</v>
      </c>
      <c r="F189" s="61"/>
      <c r="G189" s="54">
        <f t="shared" si="10"/>
        <v>180.00000000000003</v>
      </c>
      <c r="H189" s="54">
        <f t="shared" si="11"/>
        <v>0</v>
      </c>
      <c r="I189" s="54">
        <f t="shared" si="12"/>
        <v>180.00000000000003</v>
      </c>
      <c r="J189" s="62"/>
      <c r="K189" s="58" t="s">
        <v>83</v>
      </c>
      <c r="L189" s="55"/>
      <c r="M189" s="55"/>
    </row>
    <row r="190" spans="1:13" s="50" customFormat="1" ht="35.25" customHeight="1" x14ac:dyDescent="0.25">
      <c r="A190" s="52"/>
      <c r="B190" s="57" t="s">
        <v>101</v>
      </c>
      <c r="C190" s="53" t="s">
        <v>34</v>
      </c>
      <c r="D190" s="53">
        <f>D188*0.1</f>
        <v>0.36000000000000004</v>
      </c>
      <c r="E190" s="59">
        <f>56.8/1.2</f>
        <v>47.333333333333336</v>
      </c>
      <c r="F190" s="61"/>
      <c r="G190" s="54">
        <f t="shared" si="10"/>
        <v>17.040000000000003</v>
      </c>
      <c r="H190" s="54">
        <f t="shared" si="11"/>
        <v>0</v>
      </c>
      <c r="I190" s="54">
        <f t="shared" si="12"/>
        <v>17.040000000000003</v>
      </c>
      <c r="J190" s="62"/>
      <c r="K190" s="58" t="s">
        <v>100</v>
      </c>
      <c r="L190" s="55"/>
      <c r="M190" s="55"/>
    </row>
    <row r="191" spans="1:13" s="50" customFormat="1" ht="24" customHeight="1" x14ac:dyDescent="0.25">
      <c r="A191" s="52"/>
      <c r="B191" s="49" t="s">
        <v>135</v>
      </c>
      <c r="C191" s="53" t="s">
        <v>14</v>
      </c>
      <c r="D191" s="53">
        <f>D188*0.2</f>
        <v>0.72000000000000008</v>
      </c>
      <c r="E191" s="59">
        <f>88.93/1.2</f>
        <v>74.108333333333348</v>
      </c>
      <c r="F191" s="61"/>
      <c r="G191" s="54">
        <f t="shared" si="10"/>
        <v>53.358000000000018</v>
      </c>
      <c r="H191" s="54">
        <f t="shared" si="11"/>
        <v>0</v>
      </c>
      <c r="I191" s="54">
        <f t="shared" si="12"/>
        <v>53.358000000000018</v>
      </c>
      <c r="J191" s="62"/>
      <c r="K191" s="58" t="s">
        <v>134</v>
      </c>
      <c r="L191" s="55"/>
      <c r="M191" s="55"/>
    </row>
    <row r="192" spans="1:13" s="50" customFormat="1" ht="30.75" customHeight="1" x14ac:dyDescent="0.25">
      <c r="A192" s="52"/>
      <c r="B192" s="57" t="s">
        <v>133</v>
      </c>
      <c r="C192" s="53" t="s">
        <v>14</v>
      </c>
      <c r="D192" s="53">
        <f>D189*10</f>
        <v>7.2000000000000011</v>
      </c>
      <c r="E192" s="59">
        <f>426/5/1.2</f>
        <v>71</v>
      </c>
      <c r="F192" s="61"/>
      <c r="G192" s="54">
        <f t="shared" si="10"/>
        <v>511.2000000000001</v>
      </c>
      <c r="H192" s="54">
        <f t="shared" si="11"/>
        <v>0</v>
      </c>
      <c r="I192" s="54">
        <f t="shared" si="12"/>
        <v>511.2000000000001</v>
      </c>
      <c r="J192" s="62"/>
      <c r="K192" s="58"/>
      <c r="L192" s="55"/>
      <c r="M192" s="55"/>
    </row>
    <row r="193" spans="1:13" s="50" customFormat="1" ht="33" customHeight="1" x14ac:dyDescent="0.25">
      <c r="A193" s="52" t="s">
        <v>290</v>
      </c>
      <c r="B193" s="56" t="s">
        <v>292</v>
      </c>
      <c r="C193" s="53" t="s">
        <v>9</v>
      </c>
      <c r="D193" s="53">
        <v>1</v>
      </c>
      <c r="E193" s="59"/>
      <c r="F193" s="61">
        <v>185</v>
      </c>
      <c r="G193" s="54">
        <f t="shared" si="10"/>
        <v>0</v>
      </c>
      <c r="H193" s="54">
        <f t="shared" si="11"/>
        <v>185</v>
      </c>
      <c r="I193" s="54">
        <f t="shared" si="12"/>
        <v>185</v>
      </c>
      <c r="J193" s="62"/>
      <c r="K193" s="58"/>
      <c r="L193" s="55"/>
      <c r="M193" s="55"/>
    </row>
    <row r="194" spans="1:13" s="50" customFormat="1" ht="67.5" customHeight="1" x14ac:dyDescent="0.25">
      <c r="A194" s="52" t="s">
        <v>291</v>
      </c>
      <c r="B194" s="57" t="s">
        <v>293</v>
      </c>
      <c r="C194" s="53" t="s">
        <v>9</v>
      </c>
      <c r="D194" s="53">
        <v>1</v>
      </c>
      <c r="E194" s="59">
        <f>2138/1.2</f>
        <v>1781.6666666666667</v>
      </c>
      <c r="F194" s="61"/>
      <c r="G194" s="54">
        <f t="shared" si="10"/>
        <v>1781.6666666666667</v>
      </c>
      <c r="H194" s="54">
        <f t="shared" si="11"/>
        <v>0</v>
      </c>
      <c r="I194" s="54">
        <f t="shared" si="12"/>
        <v>1781.6666666666667</v>
      </c>
      <c r="J194" s="62"/>
      <c r="K194" s="58" t="s">
        <v>294</v>
      </c>
      <c r="L194" s="55"/>
      <c r="M194" s="55"/>
    </row>
    <row r="195" spans="1:13" s="50" customFormat="1" ht="32.25" customHeight="1" x14ac:dyDescent="0.25">
      <c r="A195" s="52" t="s">
        <v>295</v>
      </c>
      <c r="B195" s="56" t="s">
        <v>297</v>
      </c>
      <c r="C195" s="53" t="s">
        <v>28</v>
      </c>
      <c r="D195" s="53">
        <v>3.5</v>
      </c>
      <c r="E195" s="59"/>
      <c r="F195" s="61">
        <v>453</v>
      </c>
      <c r="G195" s="54">
        <f t="shared" si="10"/>
        <v>0</v>
      </c>
      <c r="H195" s="54">
        <f t="shared" si="11"/>
        <v>1585.5</v>
      </c>
      <c r="I195" s="54">
        <f t="shared" si="12"/>
        <v>1585.5</v>
      </c>
      <c r="J195" s="62"/>
      <c r="K195" s="58"/>
      <c r="L195" s="55"/>
      <c r="M195" s="55"/>
    </row>
    <row r="196" spans="1:13" s="50" customFormat="1" ht="32.25" customHeight="1" x14ac:dyDescent="0.25">
      <c r="A196" s="52" t="s">
        <v>296</v>
      </c>
      <c r="B196" s="56" t="s">
        <v>298</v>
      </c>
      <c r="C196" s="53" t="s">
        <v>28</v>
      </c>
      <c r="D196" s="53">
        <v>3.5</v>
      </c>
      <c r="E196" s="59"/>
      <c r="F196" s="61">
        <v>3000</v>
      </c>
      <c r="G196" s="54">
        <f t="shared" ref="G196" si="13">E196*D196</f>
        <v>0</v>
      </c>
      <c r="H196" s="54">
        <f t="shared" ref="H196" si="14">F196*D196</f>
        <v>10500</v>
      </c>
      <c r="I196" s="54">
        <f t="shared" ref="I196" si="15">G196+H196</f>
        <v>10500</v>
      </c>
      <c r="J196" s="62"/>
      <c r="K196" s="58"/>
      <c r="L196" s="55"/>
      <c r="M196" s="55"/>
    </row>
    <row r="197" spans="1:13" s="11" customFormat="1" x14ac:dyDescent="0.25">
      <c r="A197" s="20"/>
      <c r="B197" s="67" t="s">
        <v>5</v>
      </c>
      <c r="C197" s="68"/>
      <c r="D197" s="68"/>
      <c r="E197" s="68"/>
      <c r="F197" s="68"/>
      <c r="G197" s="22">
        <f>SUM(G3:G196)</f>
        <v>386486.76219296287</v>
      </c>
      <c r="H197" s="51">
        <f t="shared" ref="H197:I197" si="16">SUM(H3:H196)</f>
        <v>262532.7969999999</v>
      </c>
      <c r="I197" s="51">
        <f t="shared" si="16"/>
        <v>649019.55919296318</v>
      </c>
      <c r="J197" s="33"/>
      <c r="K197" s="19"/>
      <c r="L197" s="10"/>
    </row>
    <row r="198" spans="1:13" s="11" customFormat="1" x14ac:dyDescent="0.25">
      <c r="A198" s="12"/>
      <c r="B198" s="64" t="s">
        <v>6</v>
      </c>
      <c r="C198" s="65"/>
      <c r="D198" s="65"/>
      <c r="E198" s="65"/>
      <c r="F198" s="66"/>
      <c r="G198" s="21">
        <f>G197*1.2</f>
        <v>463784.11463155545</v>
      </c>
      <c r="H198" s="25">
        <f t="shared" ref="H198:I198" si="17">H197*1.2</f>
        <v>315039.35639999987</v>
      </c>
      <c r="I198" s="25">
        <f t="shared" si="17"/>
        <v>778823.47103155579</v>
      </c>
      <c r="J198" s="33"/>
      <c r="K198" s="19"/>
      <c r="L198" s="13"/>
    </row>
    <row r="199" spans="1:13" s="11" customFormat="1" x14ac:dyDescent="0.25">
      <c r="A199" s="12"/>
      <c r="B199" s="64"/>
      <c r="C199" s="65"/>
      <c r="D199" s="65"/>
      <c r="E199" s="65"/>
      <c r="F199" s="66"/>
      <c r="G199" s="14"/>
      <c r="H199" s="14"/>
      <c r="I199" s="16"/>
      <c r="J199" s="33"/>
      <c r="K199" s="19"/>
      <c r="L199" s="10"/>
    </row>
    <row r="200" spans="1:13" s="11" customFormat="1" x14ac:dyDescent="0.25">
      <c r="A200" s="12"/>
      <c r="B200" s="64"/>
      <c r="C200" s="65"/>
      <c r="D200" s="65"/>
      <c r="E200" s="65"/>
      <c r="F200" s="66"/>
      <c r="G200" s="14"/>
      <c r="H200" s="14" t="s">
        <v>306</v>
      </c>
      <c r="I200" s="17">
        <v>0.1</v>
      </c>
      <c r="J200" s="33"/>
      <c r="K200" s="19"/>
      <c r="L200" s="10"/>
    </row>
    <row r="201" spans="1:13" s="11" customFormat="1" x14ac:dyDescent="0.25">
      <c r="A201" s="12"/>
      <c r="B201" s="64"/>
      <c r="C201" s="65"/>
      <c r="D201" s="65"/>
      <c r="E201" s="65"/>
      <c r="F201" s="66"/>
      <c r="G201" s="14"/>
      <c r="H201" s="14"/>
      <c r="I201" s="16"/>
      <c r="J201" s="33"/>
      <c r="K201" s="19"/>
      <c r="L201" s="10"/>
    </row>
    <row r="202" spans="1:13" s="11" customFormat="1" x14ac:dyDescent="0.25">
      <c r="A202" s="12"/>
      <c r="B202" s="69"/>
      <c r="C202" s="70"/>
      <c r="D202" s="70"/>
      <c r="E202" s="70"/>
      <c r="F202" s="71"/>
      <c r="G202" s="15"/>
      <c r="H202" s="15"/>
      <c r="I202" s="18"/>
      <c r="J202" s="33"/>
      <c r="K202" s="19"/>
    </row>
    <row r="203" spans="1:13" s="11" customFormat="1" x14ac:dyDescent="0.25">
      <c r="A203" s="12"/>
      <c r="B203" s="64"/>
      <c r="C203" s="65"/>
      <c r="D203" s="65"/>
      <c r="E203" s="65"/>
      <c r="F203" s="66"/>
      <c r="G203" s="14"/>
      <c r="H203" s="14"/>
      <c r="I203" s="16"/>
      <c r="J203" s="33"/>
      <c r="K203" s="19"/>
    </row>
    <row r="204" spans="1:13" s="11" customFormat="1" x14ac:dyDescent="0.25">
      <c r="A204" s="12"/>
      <c r="B204" s="64"/>
      <c r="C204" s="65"/>
      <c r="D204" s="65"/>
      <c r="E204" s="65"/>
      <c r="F204" s="66"/>
      <c r="G204" s="14"/>
      <c r="H204" s="14"/>
      <c r="I204" s="16"/>
      <c r="J204" s="33"/>
      <c r="K204" s="19"/>
    </row>
    <row r="205" spans="1:13" s="11" customFormat="1" x14ac:dyDescent="0.25">
      <c r="A205" s="12"/>
      <c r="B205" s="64"/>
      <c r="C205" s="65"/>
      <c r="D205" s="65"/>
      <c r="E205" s="65"/>
      <c r="F205" s="66"/>
      <c r="G205" s="14"/>
      <c r="H205" s="14"/>
      <c r="I205" s="16"/>
      <c r="J205" s="33"/>
      <c r="K205" s="19"/>
    </row>
  </sheetData>
  <mergeCells count="9">
    <mergeCell ref="B203:F203"/>
    <mergeCell ref="B204:F204"/>
    <mergeCell ref="B205:F205"/>
    <mergeCell ref="B197:F197"/>
    <mergeCell ref="B198:F198"/>
    <mergeCell ref="B199:F199"/>
    <mergeCell ref="B200:F200"/>
    <mergeCell ref="B201:F201"/>
    <mergeCell ref="B202:F202"/>
  </mergeCells>
  <hyperlinks>
    <hyperlink ref="K6" r:id="rId1"/>
    <hyperlink ref="K58" r:id="rId2"/>
    <hyperlink ref="K7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по ДВ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Пеу</dc:creator>
  <cp:lastModifiedBy>1162221</cp:lastModifiedBy>
  <cp:lastPrinted>2021-02-11T15:36:50Z</cp:lastPrinted>
  <dcterms:created xsi:type="dcterms:W3CDTF">2015-06-05T18:19:34Z</dcterms:created>
  <dcterms:modified xsi:type="dcterms:W3CDTF">2021-02-11T16:54:42Z</dcterms:modified>
</cp:coreProperties>
</file>